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ale\sustainability\09_Theresa\Unterlagen\Strategy\Sustainable Supply Chain\RMI_Konfliktmineralien\ValueStream\"/>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3030" yWindow="5610" windowWidth="47790" windowHeight="2541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4" i="5" l="1"/>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83" i="5" s="1"/>
  <c r="C4"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V590" i="5"/>
  <c r="E590" i="5"/>
  <c r="X590" i="5" s="1"/>
  <c r="V591" i="5"/>
  <c r="E591" i="5"/>
  <c r="X591" i="5" s="1"/>
  <c r="V592" i="5"/>
  <c r="E592" i="5"/>
  <c r="X592" i="5" s="1"/>
  <c r="V593" i="5"/>
  <c r="E593" i="5"/>
  <c r="X593" i="5" s="1"/>
  <c r="V594" i="5"/>
  <c r="E594" i="5"/>
  <c r="X594" i="5" s="1"/>
  <c r="V595" i="5"/>
  <c r="E595" i="5"/>
  <c r="X595" i="5" s="1"/>
  <c r="V596" i="5"/>
  <c r="E596" i="5"/>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c r="B56" i="6"/>
  <c r="G56" i="6" s="1"/>
  <c r="B55" i="6"/>
  <c r="G55" i="6"/>
  <c r="B54" i="6"/>
  <c r="G54" i="6" s="1"/>
  <c r="B17" i="6"/>
  <c r="F22" i="6" s="1"/>
  <c r="B16" i="6"/>
  <c r="B15" i="6"/>
  <c r="F20" i="6" s="1"/>
  <c r="B14" i="6"/>
  <c r="G14" i="6" s="1"/>
  <c r="H14" i="6" s="1"/>
  <c r="H13" i="6"/>
  <c r="B12" i="6"/>
  <c r="G12" i="6" s="1"/>
  <c r="H12" i="6" s="1"/>
  <c r="D12" i="6" s="1"/>
  <c r="B11" i="6"/>
  <c r="G11" i="6" s="1"/>
  <c r="H11" i="6" s="1"/>
  <c r="D11" i="6" s="1"/>
  <c r="B8" i="6"/>
  <c r="G8" i="6" s="1"/>
  <c r="H8" i="6" s="1"/>
  <c r="D8" i="6" s="1"/>
  <c r="B7" i="6"/>
  <c r="G7" i="6" s="1"/>
  <c r="H7" i="6" s="1"/>
  <c r="D7" i="6" s="1"/>
  <c r="B6" i="6"/>
  <c r="G6" i="6" s="1"/>
  <c r="H6" i="6" s="1"/>
  <c r="D6" i="6" s="1"/>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B90" i="4"/>
  <c r="H67" i="4"/>
  <c r="P47" i="4"/>
  <c r="P46" i="4"/>
  <c r="P45" i="4"/>
  <c r="P44" i="4"/>
  <c r="P43" i="4"/>
  <c r="Q43" i="4" s="1"/>
  <c r="P41" i="4"/>
  <c r="P40" i="4"/>
  <c r="P39" i="4"/>
  <c r="P38" i="4"/>
  <c r="P37" i="4"/>
  <c r="Q37" i="4" s="1"/>
  <c r="P35" i="4"/>
  <c r="P34" i="4"/>
  <c r="P33" i="4"/>
  <c r="P32" i="4"/>
  <c r="P31" i="4"/>
  <c r="Q31" i="4" s="1"/>
  <c r="P29" i="4"/>
  <c r="P28" i="4"/>
  <c r="P27" i="4"/>
  <c r="B27" i="4" s="1"/>
  <c r="P26" i="4"/>
  <c r="B26" i="4" s="1"/>
  <c r="B32" i="4" s="1"/>
  <c r="A19" i="6" s="1"/>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127" i="5"/>
  <c r="R127" i="5"/>
  <c r="J127" i="5"/>
  <c r="I127" i="5"/>
  <c r="AB895" i="5"/>
  <c r="S895" i="5"/>
  <c r="AB1863" i="5"/>
  <c r="S1863"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09"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H99" i="5"/>
  <c r="R99" i="5"/>
  <c r="J99" i="5"/>
  <c r="I99" i="5"/>
  <c r="F99" i="5"/>
  <c r="H135" i="5"/>
  <c r="F135" i="5"/>
  <c r="R135" i="5"/>
  <c r="J135" i="5"/>
  <c r="I135" i="5"/>
  <c r="H159" i="5"/>
  <c r="R159" i="5"/>
  <c r="J159" i="5"/>
  <c r="I159" i="5"/>
  <c r="F159" i="5"/>
  <c r="I373" i="5"/>
  <c r="R373" i="5"/>
  <c r="J373" i="5"/>
  <c r="H373" i="5"/>
  <c r="F373"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B35" i="6" s="1"/>
  <c r="G35" i="6" s="1"/>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B65" i="4" s="1"/>
  <c r="A4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99"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25" i="6"/>
  <c r="G25" i="6" s="1"/>
  <c r="B39" i="6"/>
  <c r="G39" i="6" s="1"/>
  <c r="F24" i="6"/>
  <c r="F39" i="6" s="1"/>
  <c r="B44" i="6"/>
  <c r="G44" i="6" s="1"/>
  <c r="B49" i="6"/>
  <c r="G49" i="6" s="1"/>
  <c r="B34" i="6"/>
  <c r="G34" i="6" s="1"/>
  <c r="B29" i="6"/>
  <c r="G29" i="6" s="1"/>
  <c r="B24" i="6"/>
  <c r="G24" i="6" s="1"/>
  <c r="G19" i="6"/>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313" i="5"/>
  <c r="S242" i="5"/>
  <c r="S307" i="5"/>
  <c r="S337" i="5"/>
  <c r="S101" i="5"/>
  <c r="S555" i="5"/>
  <c r="S570" i="5"/>
  <c r="S154" i="5"/>
  <c r="S301" i="5"/>
  <c r="S246" i="5"/>
  <c r="S254" i="5"/>
  <c r="S206" i="5"/>
  <c r="S325" i="5"/>
  <c r="S527" i="5"/>
  <c r="S369" i="5"/>
  <c r="S381" i="5"/>
  <c r="S309" i="5"/>
  <c r="X589" i="5"/>
  <c r="S597" i="5"/>
  <c r="S599" i="5"/>
  <c r="S611" i="5"/>
  <c r="S601" i="5"/>
  <c r="X596" i="5"/>
  <c r="X524" i="5"/>
  <c r="X320" i="5"/>
  <c r="S600" i="5"/>
  <c r="X403" i="5"/>
  <c r="X200" i="5"/>
  <c r="S382" i="5"/>
  <c r="X116" i="5"/>
  <c r="S533" i="5"/>
  <c r="S355" i="5"/>
  <c r="S602" i="5"/>
  <c r="S603" i="5"/>
  <c r="X104" i="5"/>
  <c r="S605" i="5"/>
  <c r="S607" i="5"/>
  <c r="X324"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10" i="6" l="1"/>
  <c r="F49" i="6"/>
  <c r="F34" i="6"/>
  <c r="H24" i="6"/>
  <c r="H49" i="6"/>
  <c r="D49" i="6" s="1"/>
  <c r="F29" i="6"/>
  <c r="F65" i="6"/>
  <c r="B2" i="6" s="1"/>
  <c r="C72" i="5"/>
  <c r="B51" i="5"/>
  <c r="C71" i="5"/>
  <c r="B20" i="5"/>
  <c r="C64" i="5"/>
  <c r="B19" i="5"/>
  <c r="C40" i="5"/>
  <c r="C39" i="5"/>
  <c r="C32" i="5"/>
  <c r="B84" i="5"/>
  <c r="B7" i="5"/>
  <c r="B13" i="5"/>
  <c r="B21" i="5"/>
  <c r="B29" i="5"/>
  <c r="B37" i="5"/>
  <c r="B45" i="5"/>
  <c r="B53" i="5"/>
  <c r="B61" i="5"/>
  <c r="B69" i="5"/>
  <c r="B77" i="5"/>
  <c r="B85" i="5"/>
  <c r="B93" i="5"/>
  <c r="C9" i="5"/>
  <c r="C17" i="5"/>
  <c r="C25" i="5"/>
  <c r="C33" i="5"/>
  <c r="C41" i="5"/>
  <c r="C49" i="5"/>
  <c r="C57" i="5"/>
  <c r="C65" i="5"/>
  <c r="C73" i="5"/>
  <c r="C81" i="5"/>
  <c r="C89" i="5"/>
  <c r="B8" i="5"/>
  <c r="C8" i="5"/>
  <c r="B14" i="5"/>
  <c r="B22" i="5"/>
  <c r="B30" i="5"/>
  <c r="B38" i="5"/>
  <c r="B46" i="5"/>
  <c r="B54" i="5"/>
  <c r="B62" i="5"/>
  <c r="B70" i="5"/>
  <c r="B78" i="5"/>
  <c r="B86" i="5"/>
  <c r="C10" i="5"/>
  <c r="C18" i="5"/>
  <c r="C26" i="5"/>
  <c r="C34" i="5"/>
  <c r="C42" i="5"/>
  <c r="C50" i="5"/>
  <c r="C58" i="5"/>
  <c r="C66" i="5"/>
  <c r="C74" i="5"/>
  <c r="C82" i="5"/>
  <c r="C90" i="5"/>
  <c r="C5" i="5"/>
  <c r="B15" i="5"/>
  <c r="B23" i="5"/>
  <c r="B31" i="5"/>
  <c r="B39" i="5"/>
  <c r="B47" i="5"/>
  <c r="B55" i="5"/>
  <c r="B63" i="5"/>
  <c r="B71" i="5"/>
  <c r="B79" i="5"/>
  <c r="B87" i="5"/>
  <c r="C11" i="5"/>
  <c r="C19" i="5"/>
  <c r="C27" i="5"/>
  <c r="C35" i="5"/>
  <c r="C43" i="5"/>
  <c r="C51" i="5"/>
  <c r="C59" i="5"/>
  <c r="C67" i="5"/>
  <c r="C75" i="5"/>
  <c r="C83" i="5"/>
  <c r="C91" i="5"/>
  <c r="C6" i="5"/>
  <c r="B16" i="5"/>
  <c r="B24" i="5"/>
  <c r="B32" i="5"/>
  <c r="B40" i="5"/>
  <c r="B48" i="5"/>
  <c r="B56" i="5"/>
  <c r="B64" i="5"/>
  <c r="B72" i="5"/>
  <c r="B80" i="5"/>
  <c r="B88" i="5"/>
  <c r="C12" i="5"/>
  <c r="C20" i="5"/>
  <c r="C28" i="5"/>
  <c r="C36" i="5"/>
  <c r="C44" i="5"/>
  <c r="C52" i="5"/>
  <c r="C60" i="5"/>
  <c r="C68" i="5"/>
  <c r="C76" i="5"/>
  <c r="C84" i="5"/>
  <c r="C92" i="5"/>
  <c r="B5" i="5"/>
  <c r="B9" i="5"/>
  <c r="B17" i="5"/>
  <c r="B25" i="5"/>
  <c r="B33" i="5"/>
  <c r="B41" i="5"/>
  <c r="B49" i="5"/>
  <c r="B57" i="5"/>
  <c r="B65" i="5"/>
  <c r="B73" i="5"/>
  <c r="B81" i="5"/>
  <c r="B89" i="5"/>
  <c r="C13" i="5"/>
  <c r="C21" i="5"/>
  <c r="C29" i="5"/>
  <c r="C37" i="5"/>
  <c r="C45" i="5"/>
  <c r="C53" i="5"/>
  <c r="C61" i="5"/>
  <c r="C69" i="5"/>
  <c r="C77" i="5"/>
  <c r="C85" i="5"/>
  <c r="C93" i="5"/>
  <c r="B10" i="5"/>
  <c r="B18" i="5"/>
  <c r="B26" i="5"/>
  <c r="B34" i="5"/>
  <c r="B42" i="5"/>
  <c r="B50" i="5"/>
  <c r="B58" i="5"/>
  <c r="B66" i="5"/>
  <c r="B74" i="5"/>
  <c r="B82" i="5"/>
  <c r="B90" i="5"/>
  <c r="C14" i="5"/>
  <c r="C22" i="5"/>
  <c r="C30" i="5"/>
  <c r="C38" i="5"/>
  <c r="C46" i="5"/>
  <c r="C54" i="5"/>
  <c r="C62" i="5"/>
  <c r="C70" i="5"/>
  <c r="C78" i="5"/>
  <c r="C86" i="5"/>
  <c r="B27" i="5"/>
  <c r="B59" i="5"/>
  <c r="B91" i="5"/>
  <c r="B6" i="5"/>
  <c r="B28" i="5"/>
  <c r="B60" i="5"/>
  <c r="B92" i="5"/>
  <c r="C15" i="5"/>
  <c r="C47" i="5"/>
  <c r="C79" i="5"/>
  <c r="C7" i="5"/>
  <c r="B35" i="5"/>
  <c r="B67" i="5"/>
  <c r="C16" i="5"/>
  <c r="C48" i="5"/>
  <c r="C80" i="5"/>
  <c r="B36" i="5"/>
  <c r="B68" i="5"/>
  <c r="C23" i="5"/>
  <c r="C55" i="5"/>
  <c r="C87" i="5"/>
  <c r="B11" i="5"/>
  <c r="B43" i="5"/>
  <c r="B75" i="5"/>
  <c r="C24" i="5"/>
  <c r="C56" i="5"/>
  <c r="C88" i="5"/>
  <c r="B12" i="5"/>
  <c r="B44" i="5"/>
  <c r="B76" i="5"/>
  <c r="C31" i="5"/>
  <c r="C63" i="5"/>
  <c r="B52" i="5"/>
  <c r="C12" i="6"/>
  <c r="C4" i="6"/>
  <c r="A17" i="6"/>
  <c r="A24" i="6"/>
  <c r="H34" i="6"/>
  <c r="D34" i="6" s="1"/>
  <c r="B59" i="4"/>
  <c r="A42" i="6" s="1"/>
  <c r="H39" i="6"/>
  <c r="C39" i="6" s="1"/>
  <c r="C2" i="6"/>
  <c r="H29" i="6"/>
  <c r="D29" i="6" s="1"/>
  <c r="H19" i="6"/>
  <c r="D19" i="6" s="1"/>
  <c r="D37" i="4"/>
  <c r="D74" i="4"/>
  <c r="G17" i="6"/>
  <c r="H17" i="6" s="1"/>
  <c r="C17" i="6" s="1"/>
  <c r="B22" i="6"/>
  <c r="B52" i="6" s="1"/>
  <c r="G52" i="6" s="1"/>
  <c r="B46" i="6"/>
  <c r="G46" i="6" s="1"/>
  <c r="G16" i="6"/>
  <c r="H16" i="6" s="1"/>
  <c r="C16" i="6" s="1"/>
  <c r="B21" i="6"/>
  <c r="G21" i="6" s="1"/>
  <c r="F21" i="6"/>
  <c r="B31" i="4"/>
  <c r="A18" i="6" s="1"/>
  <c r="B43" i="4"/>
  <c r="A28" i="6" s="1"/>
  <c r="B89" i="4"/>
  <c r="A63" i="6" s="1"/>
  <c r="B37" i="4"/>
  <c r="A23" i="6" s="1"/>
  <c r="B55" i="4"/>
  <c r="A38" i="6" s="1"/>
  <c r="B83" i="4"/>
  <c r="A59" i="6" s="1"/>
  <c r="B61" i="4"/>
  <c r="A43" i="6" s="1"/>
  <c r="B49" i="4"/>
  <c r="A33" i="6" s="1"/>
  <c r="B87" i="4"/>
  <c r="A62" i="6" s="1"/>
  <c r="B75" i="4"/>
  <c r="A54" i="6" s="1"/>
  <c r="B85" i="4"/>
  <c r="A60" i="6" s="1"/>
  <c r="B79" i="4"/>
  <c r="A57" i="6" s="1"/>
  <c r="B81" i="4"/>
  <c r="A58" i="6" s="1"/>
  <c r="B67" i="4"/>
  <c r="A48" i="6" s="1"/>
  <c r="B77" i="4"/>
  <c r="A55" i="6" s="1"/>
  <c r="A15" i="6"/>
  <c r="B33" i="4"/>
  <c r="A20" i="6" s="1"/>
  <c r="C15" i="6"/>
  <c r="D15" i="6"/>
  <c r="F40" i="6"/>
  <c r="B50" i="6"/>
  <c r="G50" i="6" s="1"/>
  <c r="F35" i="6"/>
  <c r="H35" i="6" s="1"/>
  <c r="D35" i="6" s="1"/>
  <c r="H25" i="6"/>
  <c r="D25" i="6" s="1"/>
  <c r="B40" i="6"/>
  <c r="G40" i="6" s="1"/>
  <c r="B45" i="6"/>
  <c r="G45" i="6" s="1"/>
  <c r="H45" i="6" s="1"/>
  <c r="F30" i="6"/>
  <c r="G20" i="6"/>
  <c r="H20" i="6" s="1"/>
  <c r="F50" i="6"/>
  <c r="F66" i="6"/>
  <c r="B30" i="6"/>
  <c r="G30" i="6" s="1"/>
  <c r="B50" i="4"/>
  <c r="A34" i="6" s="1"/>
  <c r="B68" i="4"/>
  <c r="A49" i="6" s="1"/>
  <c r="C24" i="6"/>
  <c r="D24" i="6"/>
  <c r="D14" i="6"/>
  <c r="C14" i="6"/>
  <c r="F44" i="6"/>
  <c r="H44" i="6" s="1"/>
  <c r="C49" i="6"/>
  <c r="C29" i="6"/>
  <c r="C19" i="6"/>
  <c r="A14" i="6"/>
  <c r="G31" i="4"/>
  <c r="G37" i="4"/>
  <c r="G43" i="4"/>
  <c r="G74" i="4"/>
  <c r="G55" i="4"/>
  <c r="C9" i="6"/>
  <c r="C8" i="6"/>
  <c r="C7" i="6"/>
  <c r="D55" i="4"/>
  <c r="D67" i="4"/>
  <c r="D31" i="4"/>
  <c r="D49" i="4"/>
  <c r="D43" i="4"/>
  <c r="C11" i="6"/>
  <c r="B69" i="4"/>
  <c r="A50" i="6" s="1"/>
  <c r="B63" i="4"/>
  <c r="A45" i="6" s="1"/>
  <c r="B51" i="4"/>
  <c r="A35" i="6" s="1"/>
  <c r="B57" i="4"/>
  <c r="A40" i="6" s="1"/>
  <c r="C6" i="6"/>
  <c r="A26" i="6"/>
  <c r="B71" i="4"/>
  <c r="A52" i="6" s="1"/>
  <c r="G49" i="4"/>
  <c r="B53" i="4"/>
  <c r="A37" i="6" s="1"/>
  <c r="G61" i="4"/>
  <c r="B34" i="4"/>
  <c r="A21" i="6" s="1"/>
  <c r="A27" i="6"/>
  <c r="B52" i="4"/>
  <c r="A36" i="6" s="1"/>
  <c r="B56" i="4"/>
  <c r="A39" i="6" s="1"/>
  <c r="G64" i="6"/>
  <c r="B64" i="4"/>
  <c r="A46" i="6" s="1"/>
  <c r="B58" i="4"/>
  <c r="A41" i="6" s="1"/>
  <c r="D39" i="6" l="1"/>
  <c r="K65" i="6"/>
  <c r="C34" i="6"/>
  <c r="F69" i="6"/>
  <c r="C69" i="6" s="1"/>
  <c r="V85" i="5"/>
  <c r="G85" i="5" s="1"/>
  <c r="V21" i="5"/>
  <c r="G21" i="5" s="1"/>
  <c r="AB41" i="5"/>
  <c r="V76" i="5"/>
  <c r="G76" i="5" s="1"/>
  <c r="V12" i="5"/>
  <c r="G12" i="5" s="1"/>
  <c r="AB32" i="5"/>
  <c r="V59" i="5"/>
  <c r="G59" i="5" s="1"/>
  <c r="AB79" i="5"/>
  <c r="AB15" i="5"/>
  <c r="V42" i="5"/>
  <c r="G42" i="5" s="1"/>
  <c r="AB62" i="5"/>
  <c r="AB8" i="5"/>
  <c r="V33" i="5"/>
  <c r="G33" i="5" s="1"/>
  <c r="AB61" i="5"/>
  <c r="AB84" i="5"/>
  <c r="AB50" i="5"/>
  <c r="V77" i="5"/>
  <c r="G77" i="5" s="1"/>
  <c r="V13" i="5"/>
  <c r="G13" i="5" s="1"/>
  <c r="AB33" i="5"/>
  <c r="V68" i="5"/>
  <c r="G68" i="5" s="1"/>
  <c r="AB88" i="5"/>
  <c r="AB24" i="5"/>
  <c r="V51" i="5"/>
  <c r="G51" i="5" s="1"/>
  <c r="AB71" i="5"/>
  <c r="V5" i="5"/>
  <c r="G5" i="5" s="1"/>
  <c r="V34" i="5"/>
  <c r="AB54" i="5"/>
  <c r="V89" i="5"/>
  <c r="V25" i="5"/>
  <c r="G25" i="5" s="1"/>
  <c r="AB53" i="5"/>
  <c r="V32" i="5"/>
  <c r="G32" i="5" s="1"/>
  <c r="AB51" i="5"/>
  <c r="AB75" i="5"/>
  <c r="V80" i="5"/>
  <c r="G80" i="5" s="1"/>
  <c r="V15" i="5"/>
  <c r="G15" i="5" s="1"/>
  <c r="V86" i="5"/>
  <c r="V22" i="5"/>
  <c r="AB42" i="5"/>
  <c r="V69" i="5"/>
  <c r="AB89" i="5"/>
  <c r="AB25" i="5"/>
  <c r="V60" i="5"/>
  <c r="AB80" i="5"/>
  <c r="AB16" i="5"/>
  <c r="V43" i="5"/>
  <c r="AB63" i="5"/>
  <c r="V90" i="5"/>
  <c r="V26" i="5"/>
  <c r="AB46" i="5"/>
  <c r="V81" i="5"/>
  <c r="G81" i="5" s="1"/>
  <c r="V17" i="5"/>
  <c r="G17" i="5" s="1"/>
  <c r="AB45" i="5"/>
  <c r="V39" i="5"/>
  <c r="G39" i="5" s="1"/>
  <c r="AB34" i="5"/>
  <c r="V61" i="5"/>
  <c r="G61" i="5" s="1"/>
  <c r="AB81" i="5"/>
  <c r="AB17" i="5"/>
  <c r="V52" i="5"/>
  <c r="G52" i="5" s="1"/>
  <c r="AB72" i="5"/>
  <c r="V6" i="5"/>
  <c r="V35" i="5"/>
  <c r="G35" i="5" s="1"/>
  <c r="AB55" i="5"/>
  <c r="V82" i="5"/>
  <c r="G82" i="5" s="1"/>
  <c r="V18" i="5"/>
  <c r="AB38" i="5"/>
  <c r="V73" i="5"/>
  <c r="V9" i="5"/>
  <c r="G9" i="5" s="1"/>
  <c r="AB37" i="5"/>
  <c r="V40" i="5"/>
  <c r="G40" i="5" s="1"/>
  <c r="AB26" i="5"/>
  <c r="V53" i="5"/>
  <c r="G53" i="5" s="1"/>
  <c r="AB73" i="5"/>
  <c r="AB9" i="5"/>
  <c r="V44" i="5"/>
  <c r="G44" i="5" s="1"/>
  <c r="AB64" i="5"/>
  <c r="V91" i="5"/>
  <c r="G91" i="5" s="1"/>
  <c r="V27" i="5"/>
  <c r="G27" i="5" s="1"/>
  <c r="AB47" i="5"/>
  <c r="V74" i="5"/>
  <c r="G74" i="5" s="1"/>
  <c r="V10" i="5"/>
  <c r="AB30" i="5"/>
  <c r="V65" i="5"/>
  <c r="G65" i="5" s="1"/>
  <c r="AB93" i="5"/>
  <c r="AB29" i="5"/>
  <c r="AB19" i="5"/>
  <c r="V72" i="5"/>
  <c r="V56" i="5"/>
  <c r="G56" i="5" s="1"/>
  <c r="V79" i="5"/>
  <c r="G79" i="5" s="1"/>
  <c r="AB59" i="5"/>
  <c r="V38" i="5"/>
  <c r="AB58" i="5"/>
  <c r="AB52" i="5"/>
  <c r="AB36" i="5"/>
  <c r="V47" i="5"/>
  <c r="G47" i="5" s="1"/>
  <c r="AB27" i="5"/>
  <c r="V63" i="5"/>
  <c r="V31" i="5"/>
  <c r="G31" i="5" s="1"/>
  <c r="AB43" i="5"/>
  <c r="V48" i="5"/>
  <c r="AB92" i="5"/>
  <c r="V78" i="5"/>
  <c r="G78" i="5" s="1"/>
  <c r="V14" i="5"/>
  <c r="AB76" i="5"/>
  <c r="AB11" i="5"/>
  <c r="V16" i="5"/>
  <c r="G16" i="5" s="1"/>
  <c r="AB60" i="5"/>
  <c r="V70" i="5"/>
  <c r="AB90" i="5"/>
  <c r="AB44" i="5"/>
  <c r="V87" i="5"/>
  <c r="G87" i="5" s="1"/>
  <c r="AB67" i="5"/>
  <c r="AB28" i="5"/>
  <c r="V62" i="5"/>
  <c r="G62" i="5" s="1"/>
  <c r="AB82" i="5"/>
  <c r="AB18" i="5"/>
  <c r="V45" i="5"/>
  <c r="AB65" i="5"/>
  <c r="AB5" i="5"/>
  <c r="V36" i="5"/>
  <c r="G36" i="5" s="1"/>
  <c r="AB56" i="5"/>
  <c r="V83" i="5"/>
  <c r="V19" i="5"/>
  <c r="G19" i="5" s="1"/>
  <c r="AB39" i="5"/>
  <c r="V66" i="5"/>
  <c r="G66" i="5" s="1"/>
  <c r="AB86" i="5"/>
  <c r="AB22" i="5"/>
  <c r="V57" i="5"/>
  <c r="AB85" i="5"/>
  <c r="AB21" i="5"/>
  <c r="V64" i="5"/>
  <c r="G64" i="5" s="1"/>
  <c r="AB83" i="5"/>
  <c r="AB57" i="5"/>
  <c r="V92" i="5"/>
  <c r="G92" i="5" s="1"/>
  <c r="V28" i="5"/>
  <c r="G28" i="5" s="1"/>
  <c r="AB48" i="5"/>
  <c r="V75" i="5"/>
  <c r="G75" i="5" s="1"/>
  <c r="V11" i="5"/>
  <c r="G11" i="5" s="1"/>
  <c r="AB31" i="5"/>
  <c r="V58" i="5"/>
  <c r="AB78" i="5"/>
  <c r="AB14" i="5"/>
  <c r="V49" i="5"/>
  <c r="G49" i="5" s="1"/>
  <c r="AB77" i="5"/>
  <c r="AB13" i="5"/>
  <c r="AB20" i="5"/>
  <c r="AB68" i="5"/>
  <c r="V24" i="5"/>
  <c r="G24" i="5" s="1"/>
  <c r="V30" i="5"/>
  <c r="AB12" i="5"/>
  <c r="V55" i="5"/>
  <c r="G55" i="5" s="1"/>
  <c r="AB35" i="5"/>
  <c r="AB6" i="5"/>
  <c r="V54" i="5"/>
  <c r="G54" i="5" s="1"/>
  <c r="AB74" i="5"/>
  <c r="AB10" i="5"/>
  <c r="V37" i="5"/>
  <c r="G37" i="5" s="1"/>
  <c r="V88" i="5"/>
  <c r="G88" i="5" s="1"/>
  <c r="V23" i="5"/>
  <c r="G23" i="5" s="1"/>
  <c r="V7" i="5"/>
  <c r="G7" i="5" s="1"/>
  <c r="AB91" i="5"/>
  <c r="V46" i="5"/>
  <c r="AB66" i="5"/>
  <c r="V93" i="5"/>
  <c r="G93" i="5" s="1"/>
  <c r="V29" i="5"/>
  <c r="G29" i="5" s="1"/>
  <c r="AB49" i="5"/>
  <c r="V84" i="5"/>
  <c r="G84" i="5" s="1"/>
  <c r="V20" i="5"/>
  <c r="G20" i="5" s="1"/>
  <c r="AB40" i="5"/>
  <c r="V67" i="5"/>
  <c r="G67" i="5" s="1"/>
  <c r="AB87" i="5"/>
  <c r="AB23" i="5"/>
  <c r="V50" i="5"/>
  <c r="G50" i="5" s="1"/>
  <c r="AB70" i="5"/>
  <c r="V8" i="5"/>
  <c r="G8" i="5" s="1"/>
  <c r="V41" i="5"/>
  <c r="G41" i="5" s="1"/>
  <c r="AB69" i="5"/>
  <c r="AB7" i="5"/>
  <c r="V71" i="5"/>
  <c r="G71" i="5" s="1"/>
  <c r="H30" i="6"/>
  <c r="D30" i="6" s="1"/>
  <c r="B27" i="6"/>
  <c r="G27" i="6" s="1"/>
  <c r="H50" i="6"/>
  <c r="D50" i="6" s="1"/>
  <c r="B47" i="6"/>
  <c r="G47" i="6" s="1"/>
  <c r="G22" i="6"/>
  <c r="H22" i="6" s="1"/>
  <c r="B32" i="6"/>
  <c r="G32" i="6" s="1"/>
  <c r="B42" i="6"/>
  <c r="G42" i="6" s="1"/>
  <c r="B37" i="6"/>
  <c r="G37" i="6" s="1"/>
  <c r="F27" i="6"/>
  <c r="D17" i="6"/>
  <c r="K68" i="6"/>
  <c r="B31" i="6"/>
  <c r="G31" i="6" s="1"/>
  <c r="F26" i="6"/>
  <c r="B51" i="6"/>
  <c r="G51" i="6" s="1"/>
  <c r="H21" i="6"/>
  <c r="K67" i="6"/>
  <c r="D16" i="6"/>
  <c r="B36" i="6"/>
  <c r="G36" i="6" s="1"/>
  <c r="B41" i="6"/>
  <c r="G41" i="6" s="1"/>
  <c r="B26" i="6"/>
  <c r="G26" i="6" s="1"/>
  <c r="D20" i="6"/>
  <c r="C20" i="6"/>
  <c r="K66" i="6"/>
  <c r="D45" i="6"/>
  <c r="C45" i="6"/>
  <c r="C25" i="6"/>
  <c r="C30" i="6"/>
  <c r="C35" i="6"/>
  <c r="H40" i="6"/>
  <c r="C50" i="6"/>
  <c r="C44" i="6"/>
  <c r="D44" i="6"/>
  <c r="H64" i="6"/>
  <c r="B64" i="6"/>
  <c r="G67" i="6" l="1"/>
  <c r="G65" i="6"/>
  <c r="H65" i="6" s="1"/>
  <c r="D65" i="6" s="1"/>
  <c r="E46" i="5"/>
  <c r="R46" i="5"/>
  <c r="J46" i="5"/>
  <c r="H46" i="5"/>
  <c r="F46" i="5"/>
  <c r="I46" i="5"/>
  <c r="I83" i="5"/>
  <c r="E83" i="5"/>
  <c r="H83" i="5"/>
  <c r="R83" i="5"/>
  <c r="J83" i="5"/>
  <c r="F83" i="5"/>
  <c r="G46" i="5"/>
  <c r="E70" i="5"/>
  <c r="R70" i="5"/>
  <c r="I70" i="5"/>
  <c r="H70" i="5"/>
  <c r="F70" i="5"/>
  <c r="J70" i="5"/>
  <c r="E38" i="5"/>
  <c r="R38" i="5"/>
  <c r="I38" i="5"/>
  <c r="H38" i="5"/>
  <c r="F38" i="5"/>
  <c r="J38" i="5"/>
  <c r="E6" i="5"/>
  <c r="J6" i="5"/>
  <c r="R6" i="5"/>
  <c r="I6" i="5"/>
  <c r="F6" i="5"/>
  <c r="H6" i="5"/>
  <c r="E60" i="5"/>
  <c r="I60" i="5"/>
  <c r="J60" i="5"/>
  <c r="H60" i="5"/>
  <c r="F60" i="5"/>
  <c r="R60" i="5"/>
  <c r="J89" i="5"/>
  <c r="E89" i="5"/>
  <c r="H89" i="5"/>
  <c r="R89" i="5"/>
  <c r="I89" i="5"/>
  <c r="F89" i="5"/>
  <c r="E58" i="5"/>
  <c r="R58" i="5"/>
  <c r="I58" i="5"/>
  <c r="H58" i="5"/>
  <c r="F58" i="5"/>
  <c r="J58" i="5"/>
  <c r="R75" i="5"/>
  <c r="E75" i="5"/>
  <c r="I75" i="5"/>
  <c r="J75" i="5"/>
  <c r="F75" i="5"/>
  <c r="H75" i="5"/>
  <c r="E92" i="5"/>
  <c r="R92" i="5"/>
  <c r="H92" i="5"/>
  <c r="I92" i="5"/>
  <c r="F92" i="5"/>
  <c r="J92" i="5"/>
  <c r="E87" i="5"/>
  <c r="H87" i="5"/>
  <c r="R87" i="5"/>
  <c r="I87" i="5"/>
  <c r="F87" i="5"/>
  <c r="J87" i="5"/>
  <c r="G70" i="5"/>
  <c r="E78" i="5"/>
  <c r="R78" i="5"/>
  <c r="J78" i="5"/>
  <c r="I78" i="5"/>
  <c r="F78" i="5"/>
  <c r="H78" i="5"/>
  <c r="G38" i="5"/>
  <c r="R56" i="5"/>
  <c r="E56" i="5"/>
  <c r="H56" i="5"/>
  <c r="F56" i="5"/>
  <c r="I56" i="5"/>
  <c r="J56" i="5"/>
  <c r="E90" i="5"/>
  <c r="H90" i="5"/>
  <c r="I90" i="5"/>
  <c r="R90" i="5"/>
  <c r="J90" i="5"/>
  <c r="F90" i="5"/>
  <c r="E15" i="5"/>
  <c r="H15" i="5"/>
  <c r="J15" i="5"/>
  <c r="F15" i="5"/>
  <c r="I15" i="5"/>
  <c r="R15" i="5"/>
  <c r="E32" i="5"/>
  <c r="J32" i="5"/>
  <c r="F32" i="5"/>
  <c r="I32" i="5"/>
  <c r="H32" i="5"/>
  <c r="R32" i="5"/>
  <c r="E27" i="5"/>
  <c r="J27" i="5"/>
  <c r="H27" i="5"/>
  <c r="R27" i="5"/>
  <c r="F27" i="5"/>
  <c r="I27" i="5"/>
  <c r="F53" i="5"/>
  <c r="R53" i="5"/>
  <c r="J53" i="5"/>
  <c r="H53" i="5"/>
  <c r="I53" i="5"/>
  <c r="E53" i="5"/>
  <c r="E39" i="5"/>
  <c r="H39" i="5"/>
  <c r="I39" i="5"/>
  <c r="J39" i="5"/>
  <c r="F39" i="5"/>
  <c r="R39" i="5"/>
  <c r="J81" i="5"/>
  <c r="F81" i="5"/>
  <c r="H81" i="5"/>
  <c r="E81" i="5"/>
  <c r="I81" i="5"/>
  <c r="R81" i="5"/>
  <c r="G90" i="5"/>
  <c r="E13" i="5"/>
  <c r="H13" i="5"/>
  <c r="J13" i="5"/>
  <c r="R13" i="5"/>
  <c r="F13" i="5"/>
  <c r="I13" i="5"/>
  <c r="E48" i="5"/>
  <c r="I48" i="5"/>
  <c r="J48" i="5"/>
  <c r="F48" i="5"/>
  <c r="R48" i="5"/>
  <c r="H48" i="5"/>
  <c r="E63" i="5"/>
  <c r="R63" i="5"/>
  <c r="H63" i="5"/>
  <c r="J63" i="5"/>
  <c r="F63" i="5"/>
  <c r="I63" i="5"/>
  <c r="E43" i="5"/>
  <c r="F43" i="5"/>
  <c r="H43" i="5"/>
  <c r="I43" i="5"/>
  <c r="J43" i="5"/>
  <c r="R43" i="5"/>
  <c r="R69" i="5"/>
  <c r="H69" i="5"/>
  <c r="I69" i="5"/>
  <c r="F69" i="5"/>
  <c r="E69" i="5"/>
  <c r="J69" i="5"/>
  <c r="H29" i="5"/>
  <c r="E29" i="5"/>
  <c r="I29" i="5"/>
  <c r="J29" i="5"/>
  <c r="F29" i="5"/>
  <c r="R29" i="5"/>
  <c r="E88" i="5"/>
  <c r="R88" i="5"/>
  <c r="I88" i="5"/>
  <c r="J88" i="5"/>
  <c r="H88" i="5"/>
  <c r="F88" i="5"/>
  <c r="E30" i="5"/>
  <c r="R30" i="5"/>
  <c r="F30" i="5"/>
  <c r="H30" i="5"/>
  <c r="J30" i="5"/>
  <c r="I30" i="5"/>
  <c r="E20" i="5"/>
  <c r="H20" i="5"/>
  <c r="R20" i="5"/>
  <c r="J20" i="5"/>
  <c r="F20" i="5"/>
  <c r="I20" i="5"/>
  <c r="G30" i="5"/>
  <c r="H49" i="5"/>
  <c r="I49" i="5"/>
  <c r="F49" i="5"/>
  <c r="R49" i="5"/>
  <c r="J49" i="5"/>
  <c r="E49" i="5"/>
  <c r="G58" i="5"/>
  <c r="E10" i="5"/>
  <c r="H10" i="5"/>
  <c r="I10" i="5"/>
  <c r="F10" i="5"/>
  <c r="R10" i="5"/>
  <c r="J10" i="5"/>
  <c r="E44" i="5"/>
  <c r="F44" i="5"/>
  <c r="H44" i="5"/>
  <c r="I44" i="5"/>
  <c r="R44" i="5"/>
  <c r="J44" i="5"/>
  <c r="R93" i="5"/>
  <c r="F93" i="5"/>
  <c r="J93" i="5"/>
  <c r="E93" i="5"/>
  <c r="I93" i="5"/>
  <c r="H93" i="5"/>
  <c r="E72" i="5"/>
  <c r="R72" i="5"/>
  <c r="I72" i="5"/>
  <c r="J72" i="5"/>
  <c r="H72" i="5"/>
  <c r="F72" i="5"/>
  <c r="G72" i="5"/>
  <c r="G10" i="5"/>
  <c r="E80" i="5"/>
  <c r="H80" i="5"/>
  <c r="F80" i="5"/>
  <c r="I80" i="5"/>
  <c r="J80" i="5"/>
  <c r="R80" i="5"/>
  <c r="E57" i="5"/>
  <c r="R57" i="5"/>
  <c r="I57" i="5"/>
  <c r="J57" i="5"/>
  <c r="H57" i="5"/>
  <c r="F57" i="5"/>
  <c r="J8" i="5"/>
  <c r="E8" i="5"/>
  <c r="R8" i="5"/>
  <c r="I8" i="5"/>
  <c r="H8" i="5"/>
  <c r="F8" i="5"/>
  <c r="J45" i="5"/>
  <c r="H45" i="5"/>
  <c r="E45" i="5"/>
  <c r="I45" i="5"/>
  <c r="F45" i="5"/>
  <c r="R45" i="5"/>
  <c r="R73" i="5"/>
  <c r="E73" i="5"/>
  <c r="F73" i="5"/>
  <c r="J73" i="5"/>
  <c r="H73" i="5"/>
  <c r="I73" i="5"/>
  <c r="E50" i="5"/>
  <c r="I50" i="5"/>
  <c r="R50" i="5"/>
  <c r="F50" i="5"/>
  <c r="H50" i="5"/>
  <c r="J50" i="5"/>
  <c r="R84" i="5"/>
  <c r="E84" i="5"/>
  <c r="J84" i="5"/>
  <c r="H84" i="5"/>
  <c r="F84" i="5"/>
  <c r="I84" i="5"/>
  <c r="R37" i="5"/>
  <c r="J37" i="5"/>
  <c r="F37" i="5"/>
  <c r="H37" i="5"/>
  <c r="E37" i="5"/>
  <c r="I37" i="5"/>
  <c r="E54" i="5"/>
  <c r="I54" i="5"/>
  <c r="H54" i="5"/>
  <c r="F54" i="5"/>
  <c r="R54" i="5"/>
  <c r="J54" i="5"/>
  <c r="E24" i="5"/>
  <c r="R24" i="5"/>
  <c r="H24" i="5"/>
  <c r="I24" i="5"/>
  <c r="J24" i="5"/>
  <c r="F24" i="5"/>
  <c r="E36" i="5"/>
  <c r="J36" i="5"/>
  <c r="H36" i="5"/>
  <c r="F36" i="5"/>
  <c r="R36" i="5"/>
  <c r="I36" i="5"/>
  <c r="E74" i="5"/>
  <c r="I74" i="5"/>
  <c r="H74" i="5"/>
  <c r="F74" i="5"/>
  <c r="R74" i="5"/>
  <c r="J74" i="5"/>
  <c r="E22" i="5"/>
  <c r="I22" i="5"/>
  <c r="F22" i="5"/>
  <c r="J22" i="5"/>
  <c r="H22" i="5"/>
  <c r="R22" i="5"/>
  <c r="E34" i="5"/>
  <c r="R34" i="5"/>
  <c r="F34" i="5"/>
  <c r="I34" i="5"/>
  <c r="J34" i="5"/>
  <c r="H34" i="5"/>
  <c r="E51" i="5"/>
  <c r="J51" i="5"/>
  <c r="I51" i="5"/>
  <c r="F51" i="5"/>
  <c r="H51" i="5"/>
  <c r="R51" i="5"/>
  <c r="E68" i="5"/>
  <c r="R68" i="5"/>
  <c r="I68" i="5"/>
  <c r="J68" i="5"/>
  <c r="F68" i="5"/>
  <c r="H68" i="5"/>
  <c r="I77" i="5"/>
  <c r="R77" i="5"/>
  <c r="E77" i="5"/>
  <c r="F77" i="5"/>
  <c r="J77" i="5"/>
  <c r="H77" i="5"/>
  <c r="E55" i="5"/>
  <c r="H55" i="5"/>
  <c r="R55" i="5"/>
  <c r="F55" i="5"/>
  <c r="J55" i="5"/>
  <c r="I55" i="5"/>
  <c r="E19" i="5"/>
  <c r="H19" i="5"/>
  <c r="F19" i="5"/>
  <c r="I19" i="5"/>
  <c r="R19" i="5"/>
  <c r="J19" i="5"/>
  <c r="G66" i="6"/>
  <c r="H66" i="6" s="1"/>
  <c r="H47" i="5"/>
  <c r="E47" i="5"/>
  <c r="F47" i="5"/>
  <c r="J47" i="5"/>
  <c r="R47" i="5"/>
  <c r="I47" i="5"/>
  <c r="E91" i="5"/>
  <c r="R91" i="5"/>
  <c r="I91" i="5"/>
  <c r="F91" i="5"/>
  <c r="J91" i="5"/>
  <c r="H91" i="5"/>
  <c r="E9" i="5"/>
  <c r="J9" i="5"/>
  <c r="I9" i="5"/>
  <c r="R9" i="5"/>
  <c r="F9" i="5"/>
  <c r="H9" i="5"/>
  <c r="E18" i="5"/>
  <c r="H18" i="5"/>
  <c r="F18" i="5"/>
  <c r="J18" i="5"/>
  <c r="I18" i="5"/>
  <c r="R18" i="5"/>
  <c r="R35" i="5"/>
  <c r="E35" i="5"/>
  <c r="H35" i="5"/>
  <c r="J35" i="5"/>
  <c r="I35" i="5"/>
  <c r="F35" i="5"/>
  <c r="E52" i="5"/>
  <c r="R52" i="5"/>
  <c r="J52" i="5"/>
  <c r="H52" i="5"/>
  <c r="F52" i="5"/>
  <c r="I52" i="5"/>
  <c r="R61" i="5"/>
  <c r="F61" i="5"/>
  <c r="E61" i="5"/>
  <c r="I61" i="5"/>
  <c r="J61" i="5"/>
  <c r="H61" i="5"/>
  <c r="G22" i="5"/>
  <c r="G34" i="5"/>
  <c r="E12" i="5"/>
  <c r="J12" i="5"/>
  <c r="I12" i="5"/>
  <c r="F12" i="5"/>
  <c r="H12" i="5"/>
  <c r="R12" i="5"/>
  <c r="H21" i="5"/>
  <c r="J21" i="5"/>
  <c r="R21" i="5"/>
  <c r="F21" i="5"/>
  <c r="I21" i="5"/>
  <c r="E21" i="5"/>
  <c r="E71" i="5"/>
  <c r="H71" i="5"/>
  <c r="F71" i="5"/>
  <c r="R71" i="5"/>
  <c r="J71" i="5"/>
  <c r="I71" i="5"/>
  <c r="R41" i="5"/>
  <c r="I41" i="5"/>
  <c r="E41" i="5"/>
  <c r="F41" i="5"/>
  <c r="J41" i="5"/>
  <c r="H41" i="5"/>
  <c r="J7" i="5"/>
  <c r="E7" i="5"/>
  <c r="F7" i="5"/>
  <c r="I7" i="5"/>
  <c r="H7" i="5"/>
  <c r="R7" i="5"/>
  <c r="E28" i="5"/>
  <c r="I28" i="5"/>
  <c r="H28" i="5"/>
  <c r="R28" i="5"/>
  <c r="J28" i="5"/>
  <c r="F28" i="5"/>
  <c r="G57" i="5"/>
  <c r="E66" i="5"/>
  <c r="F66" i="5"/>
  <c r="J66" i="5"/>
  <c r="H66" i="5"/>
  <c r="R66" i="5"/>
  <c r="I66" i="5"/>
  <c r="G83" i="5"/>
  <c r="G68" i="6"/>
  <c r="E16" i="5"/>
  <c r="I16" i="5"/>
  <c r="H16" i="5"/>
  <c r="J16" i="5"/>
  <c r="F16" i="5"/>
  <c r="R16" i="5"/>
  <c r="E14" i="5"/>
  <c r="I14" i="5"/>
  <c r="R14" i="5"/>
  <c r="J14" i="5"/>
  <c r="H14" i="5"/>
  <c r="F14" i="5"/>
  <c r="G48" i="5"/>
  <c r="E31" i="5"/>
  <c r="H31" i="5"/>
  <c r="J31" i="5"/>
  <c r="I31" i="5"/>
  <c r="R31" i="5"/>
  <c r="F31" i="5"/>
  <c r="E79" i="5"/>
  <c r="I79" i="5"/>
  <c r="R79" i="5"/>
  <c r="J79" i="5"/>
  <c r="H79" i="5"/>
  <c r="F79" i="5"/>
  <c r="J65" i="5"/>
  <c r="H65" i="5"/>
  <c r="R65" i="5"/>
  <c r="I65" i="5"/>
  <c r="F65" i="5"/>
  <c r="E65" i="5"/>
  <c r="G18" i="5"/>
  <c r="E26" i="5"/>
  <c r="R26" i="5"/>
  <c r="H26" i="5"/>
  <c r="I26" i="5"/>
  <c r="F26" i="5"/>
  <c r="J26" i="5"/>
  <c r="E86" i="5"/>
  <c r="F86" i="5"/>
  <c r="H86" i="5"/>
  <c r="J86" i="5"/>
  <c r="I86" i="5"/>
  <c r="R86" i="5"/>
  <c r="E25" i="5"/>
  <c r="R25" i="5"/>
  <c r="H25" i="5"/>
  <c r="I25" i="5"/>
  <c r="F25" i="5"/>
  <c r="J25" i="5"/>
  <c r="E42" i="5"/>
  <c r="I42" i="5"/>
  <c r="R42" i="5"/>
  <c r="H42" i="5"/>
  <c r="F42" i="5"/>
  <c r="J42" i="5"/>
  <c r="R67" i="5"/>
  <c r="E67" i="5"/>
  <c r="H67" i="5"/>
  <c r="J67" i="5"/>
  <c r="I67" i="5"/>
  <c r="F67" i="5"/>
  <c r="E23" i="5"/>
  <c r="F23" i="5"/>
  <c r="H23" i="5"/>
  <c r="I23" i="5"/>
  <c r="R23" i="5"/>
  <c r="J23" i="5"/>
  <c r="E11" i="5"/>
  <c r="F11" i="5"/>
  <c r="I11" i="5"/>
  <c r="H11" i="5"/>
  <c r="R11" i="5"/>
  <c r="J11" i="5"/>
  <c r="E64" i="5"/>
  <c r="R64" i="5"/>
  <c r="H64" i="5"/>
  <c r="F64" i="5"/>
  <c r="I64" i="5"/>
  <c r="J64" i="5"/>
  <c r="G45" i="5"/>
  <c r="E62" i="5"/>
  <c r="H62" i="5"/>
  <c r="F62" i="5"/>
  <c r="I62" i="5"/>
  <c r="J62" i="5"/>
  <c r="R62" i="5"/>
  <c r="G14" i="5"/>
  <c r="G63" i="5"/>
  <c r="E40" i="5"/>
  <c r="R40" i="5"/>
  <c r="I40" i="5"/>
  <c r="F40" i="5"/>
  <c r="J40" i="5"/>
  <c r="H40" i="5"/>
  <c r="G73" i="5"/>
  <c r="E82" i="5"/>
  <c r="R82" i="5"/>
  <c r="H82" i="5"/>
  <c r="F82" i="5"/>
  <c r="I82" i="5"/>
  <c r="J82" i="5"/>
  <c r="G6" i="5"/>
  <c r="H17" i="5"/>
  <c r="I17" i="5"/>
  <c r="E17" i="5"/>
  <c r="J17" i="5"/>
  <c r="R17" i="5"/>
  <c r="F17" i="5"/>
  <c r="G26" i="5"/>
  <c r="G43" i="5"/>
  <c r="G60" i="5"/>
  <c r="G69" i="5"/>
  <c r="G86" i="5"/>
  <c r="G89" i="5"/>
  <c r="J5" i="5"/>
  <c r="E5" i="5"/>
  <c r="I5" i="5"/>
  <c r="R5" i="5"/>
  <c r="F5" i="5"/>
  <c r="H5" i="5"/>
  <c r="J33" i="5"/>
  <c r="R33" i="5"/>
  <c r="H33" i="5"/>
  <c r="E33" i="5"/>
  <c r="I33" i="5"/>
  <c r="F33" i="5"/>
  <c r="J59" i="5"/>
  <c r="E59" i="5"/>
  <c r="I59" i="5"/>
  <c r="R59" i="5"/>
  <c r="F59" i="5"/>
  <c r="H59" i="5"/>
  <c r="E76" i="5"/>
  <c r="J76" i="5"/>
  <c r="H76" i="5"/>
  <c r="I76" i="5"/>
  <c r="F76" i="5"/>
  <c r="R76" i="5"/>
  <c r="F85" i="5"/>
  <c r="I85" i="5"/>
  <c r="R85" i="5"/>
  <c r="J85" i="5"/>
  <c r="H85" i="5"/>
  <c r="E85" i="5"/>
  <c r="F47" i="6"/>
  <c r="H47" i="6" s="1"/>
  <c r="F37" i="6"/>
  <c r="H37" i="6" s="1"/>
  <c r="F42" i="6"/>
  <c r="H42" i="6" s="1"/>
  <c r="H27" i="6"/>
  <c r="F68" i="6"/>
  <c r="F52" i="6"/>
  <c r="H52" i="6" s="1"/>
  <c r="F32" i="6"/>
  <c r="H32" i="6" s="1"/>
  <c r="D22" i="6"/>
  <c r="C22" i="6"/>
  <c r="D21" i="6"/>
  <c r="C21" i="6"/>
  <c r="H26" i="6"/>
  <c r="F36" i="6"/>
  <c r="H36" i="6" s="1"/>
  <c r="F46" i="6"/>
  <c r="H46" i="6" s="1"/>
  <c r="F31" i="6"/>
  <c r="H31" i="6" s="1"/>
  <c r="F41" i="6"/>
  <c r="H41" i="6" s="1"/>
  <c r="F51" i="6"/>
  <c r="H51" i="6" s="1"/>
  <c r="F67" i="6"/>
  <c r="F54" i="6"/>
  <c r="D40" i="6"/>
  <c r="C40" i="6"/>
  <c r="D64" i="6"/>
  <c r="C64" i="6"/>
  <c r="H67" i="6" l="1"/>
  <c r="C67" i="6" s="1"/>
  <c r="C65" i="6"/>
  <c r="X31" i="5"/>
  <c r="X32" i="5"/>
  <c r="X87" i="5"/>
  <c r="X70" i="5"/>
  <c r="X23" i="5"/>
  <c r="X86" i="5"/>
  <c r="X65" i="5"/>
  <c r="X14" i="5"/>
  <c r="X21" i="5"/>
  <c r="X77" i="5"/>
  <c r="X68" i="5"/>
  <c r="H68" i="6"/>
  <c r="D68" i="6" s="1"/>
  <c r="X76" i="5"/>
  <c r="X61" i="5"/>
  <c r="X52" i="5"/>
  <c r="X91" i="5"/>
  <c r="X73" i="5"/>
  <c r="X33" i="5"/>
  <c r="X5" i="5"/>
  <c r="G69" i="6" a="1"/>
  <c r="G69" i="6" s="1"/>
  <c r="H69" i="6" s="1"/>
  <c r="X11" i="5"/>
  <c r="X25" i="5"/>
  <c r="X7" i="5"/>
  <c r="X22" i="5"/>
  <c r="X54" i="5"/>
  <c r="X80" i="5"/>
  <c r="X72" i="5"/>
  <c r="X20" i="5"/>
  <c r="X13" i="5"/>
  <c r="X56" i="5"/>
  <c r="X78" i="5"/>
  <c r="X90" i="5"/>
  <c r="X85" i="5"/>
  <c r="X59" i="5"/>
  <c r="X82" i="5"/>
  <c r="X26" i="5"/>
  <c r="X16" i="5"/>
  <c r="X66" i="5"/>
  <c r="X35" i="5"/>
  <c r="X47" i="5"/>
  <c r="X19" i="5"/>
  <c r="X12" i="5"/>
  <c r="X9" i="5"/>
  <c r="X29" i="5"/>
  <c r="X27" i="5"/>
  <c r="X58" i="5"/>
  <c r="X38" i="5"/>
  <c r="X79" i="5"/>
  <c r="X64" i="5"/>
  <c r="X42" i="5"/>
  <c r="X55" i="5"/>
  <c r="X34" i="5"/>
  <c r="X24" i="5"/>
  <c r="X37" i="5"/>
  <c r="X50" i="5"/>
  <c r="X57" i="5"/>
  <c r="X10" i="5"/>
  <c r="X48" i="5"/>
  <c r="X75" i="5"/>
  <c r="X6" i="5"/>
  <c r="X67" i="5"/>
  <c r="X44" i="5"/>
  <c r="X49" i="5"/>
  <c r="X88" i="5"/>
  <c r="X69" i="5"/>
  <c r="X63" i="5"/>
  <c r="X81" i="5"/>
  <c r="X46" i="5"/>
  <c r="X28" i="5"/>
  <c r="X84" i="5"/>
  <c r="X8" i="5"/>
  <c r="X93" i="5"/>
  <c r="X41" i="5"/>
  <c r="X71" i="5"/>
  <c r="X39" i="5"/>
  <c r="X15" i="5"/>
  <c r="X92" i="5"/>
  <c r="X60" i="5"/>
  <c r="X83" i="5"/>
  <c r="X17" i="5"/>
  <c r="X40" i="5"/>
  <c r="X62" i="5"/>
  <c r="X18" i="5"/>
  <c r="X51" i="5"/>
  <c r="X36" i="5"/>
  <c r="X45" i="5"/>
  <c r="C66" i="6"/>
  <c r="D66" i="6"/>
  <c r="X74" i="5"/>
  <c r="X30" i="5"/>
  <c r="X43" i="5"/>
  <c r="X53" i="5"/>
  <c r="X89" i="5"/>
  <c r="C27" i="6"/>
  <c r="D27" i="6"/>
  <c r="D52" i="6"/>
  <c r="C52" i="6"/>
  <c r="D42" i="6"/>
  <c r="C42" i="6"/>
  <c r="D37" i="6"/>
  <c r="C37" i="6"/>
  <c r="D32" i="6"/>
  <c r="C32" i="6"/>
  <c r="D47" i="6"/>
  <c r="C47" i="6"/>
  <c r="H54" i="6"/>
  <c r="F62" i="6"/>
  <c r="H62" i="6" s="1"/>
  <c r="F63" i="6"/>
  <c r="H63" i="6" s="1"/>
  <c r="F59" i="6"/>
  <c r="H59" i="6" s="1"/>
  <c r="F55" i="6"/>
  <c r="F57" i="6"/>
  <c r="H57" i="6" s="1"/>
  <c r="F60" i="6"/>
  <c r="H60" i="6" s="1"/>
  <c r="F58" i="6"/>
  <c r="H58" i="6" s="1"/>
  <c r="D41" i="6"/>
  <c r="C41" i="6"/>
  <c r="C51" i="6"/>
  <c r="D51" i="6"/>
  <c r="D36" i="6"/>
  <c r="C36" i="6"/>
  <c r="D31" i="6"/>
  <c r="C31" i="6"/>
  <c r="D46" i="6"/>
  <c r="C46" i="6"/>
  <c r="D26" i="6"/>
  <c r="C26" i="6"/>
  <c r="S66" i="5"/>
  <c r="S83" i="5"/>
  <c r="S72" i="5"/>
  <c r="S86" i="5"/>
  <c r="S52" i="5"/>
  <c r="S70" i="5"/>
  <c r="S77" i="5"/>
  <c r="S91" i="5"/>
  <c r="S68" i="5"/>
  <c r="S61" i="5"/>
  <c r="S80" i="5"/>
  <c r="S56" i="5"/>
  <c r="S85" i="5"/>
  <c r="S90" i="5"/>
  <c r="S75" i="5"/>
  <c r="S57" i="5"/>
  <c r="S65" i="5"/>
  <c r="S88" i="5"/>
  <c r="S53" i="5"/>
  <c r="S50" i="5"/>
  <c r="S81" i="5"/>
  <c r="S51" i="5"/>
  <c r="S69" i="5"/>
  <c r="S89" i="5"/>
  <c r="S93" i="5"/>
  <c r="S64" i="5"/>
  <c r="S48" i="5"/>
  <c r="S71" i="5"/>
  <c r="S59" i="5"/>
  <c r="S76" i="5"/>
  <c r="S62" i="5"/>
  <c r="S55" i="5"/>
  <c r="S92" i="5"/>
  <c r="S79" i="5"/>
  <c r="S74" i="5"/>
  <c r="S54" i="5"/>
  <c r="S58" i="5"/>
  <c r="S82" i="5"/>
  <c r="S63" i="5"/>
  <c r="S60" i="5"/>
  <c r="S49" i="5"/>
  <c r="S78" i="5"/>
  <c r="S67" i="5"/>
  <c r="S73" i="5"/>
  <c r="S84" i="5"/>
  <c r="S87" i="5"/>
  <c r="S47" i="5"/>
  <c r="S16" i="5"/>
  <c r="S25" i="5"/>
  <c r="S27" i="5"/>
  <c r="S28" i="5"/>
  <c r="S36" i="5"/>
  <c r="S37" i="5"/>
  <c r="S13" i="5"/>
  <c r="S7" i="5"/>
  <c r="S11" i="5"/>
  <c r="S44" i="5"/>
  <c r="S19" i="5"/>
  <c r="S5" i="5"/>
  <c r="S23" i="5"/>
  <c r="S34" i="5"/>
  <c r="S10" i="5"/>
  <c r="S26" i="5"/>
  <c r="S32" i="5"/>
  <c r="S35" i="5"/>
  <c r="S46" i="5"/>
  <c r="S6" i="5"/>
  <c r="S43" i="5"/>
  <c r="S22" i="5"/>
  <c r="S17" i="5"/>
  <c r="S24" i="5"/>
  <c r="S8" i="5"/>
  <c r="S21" i="5"/>
  <c r="S38" i="5"/>
  <c r="S12" i="5"/>
  <c r="S31" i="5"/>
  <c r="S18" i="5"/>
  <c r="S41" i="5"/>
  <c r="S9" i="5"/>
  <c r="S29" i="5"/>
  <c r="S33" i="5"/>
  <c r="S39" i="5"/>
  <c r="S14" i="5"/>
  <c r="S30" i="5"/>
  <c r="S45" i="5"/>
  <c r="S42" i="5"/>
  <c r="S20" i="5"/>
  <c r="S15" i="5"/>
  <c r="S40" i="5"/>
  <c r="D67" i="6" l="1"/>
  <c r="C68" i="6"/>
  <c r="D60" i="6"/>
  <c r="C60" i="6"/>
  <c r="D59" i="6"/>
  <c r="C59" i="6"/>
  <c r="D58" i="6"/>
  <c r="C58" i="6"/>
  <c r="D57" i="6"/>
  <c r="C57" i="6"/>
  <c r="D63" i="6"/>
  <c r="C63" i="6"/>
  <c r="D62" i="6"/>
  <c r="C62" i="6"/>
  <c r="F56" i="6"/>
  <c r="H56" i="6" s="1"/>
  <c r="H55" i="6"/>
  <c r="D54" i="6"/>
  <c r="C54" i="6"/>
  <c r="H70" i="6"/>
  <c r="D2" i="6" s="1"/>
  <c r="T86" i="5"/>
  <c r="T78" i="5"/>
  <c r="T93" i="5"/>
  <c r="T53" i="5"/>
  <c r="T63" i="5"/>
  <c r="T76" i="5"/>
  <c r="T92" i="5"/>
  <c r="T85" i="5"/>
  <c r="T54" i="5"/>
  <c r="T84" i="5"/>
  <c r="T88" i="5"/>
  <c r="T51" i="5"/>
  <c r="T81" i="5"/>
  <c r="T91" i="5"/>
  <c r="T57" i="5"/>
  <c r="T73" i="5"/>
  <c r="T89" i="5"/>
  <c r="T59" i="5"/>
  <c r="T82" i="5"/>
  <c r="T79" i="5"/>
  <c r="T75" i="5"/>
  <c r="T72" i="5"/>
  <c r="T49" i="5"/>
  <c r="T61" i="5"/>
  <c r="T90" i="5"/>
  <c r="T58" i="5"/>
  <c r="T60" i="5"/>
  <c r="T71" i="5"/>
  <c r="T77" i="5"/>
  <c r="T83" i="5"/>
  <c r="T65" i="5"/>
  <c r="T67" i="5"/>
  <c r="T70" i="5"/>
  <c r="T66" i="5"/>
  <c r="T48" i="5"/>
  <c r="T55" i="5"/>
  <c r="T52" i="5"/>
  <c r="T87" i="5"/>
  <c r="T80" i="5"/>
  <c r="T68" i="5"/>
  <c r="T64" i="5"/>
  <c r="T50" i="5"/>
  <c r="T69" i="5"/>
  <c r="T62" i="5"/>
  <c r="T56" i="5"/>
  <c r="T74" i="5"/>
  <c r="T35" i="5"/>
  <c r="T25" i="5"/>
  <c r="T39" i="5"/>
  <c r="T45" i="5"/>
  <c r="T37" i="5"/>
  <c r="T21" i="5"/>
  <c r="T24" i="5"/>
  <c r="T17" i="5"/>
  <c r="T41" i="5"/>
  <c r="T36" i="5"/>
  <c r="T6" i="5"/>
  <c r="T28" i="5"/>
  <c r="T30" i="5"/>
  <c r="T43" i="5"/>
  <c r="T8" i="5"/>
  <c r="T32" i="5"/>
  <c r="T12" i="5"/>
  <c r="T10" i="5"/>
  <c r="T7" i="5"/>
  <c r="T34" i="5"/>
  <c r="T42" i="5"/>
  <c r="T31" i="5"/>
  <c r="T44" i="5"/>
  <c r="T5" i="5"/>
  <c r="T26" i="5"/>
  <c r="T15" i="5"/>
  <c r="T47" i="5"/>
  <c r="T14" i="5"/>
  <c r="T19" i="5"/>
  <c r="T22" i="5"/>
  <c r="T16" i="5"/>
  <c r="T29" i="5"/>
  <c r="T20" i="5"/>
  <c r="T46" i="5"/>
  <c r="T18" i="5"/>
  <c r="T33" i="5"/>
  <c r="T13" i="5"/>
  <c r="T38" i="5"/>
  <c r="T11" i="5"/>
  <c r="T23" i="5"/>
  <c r="T27" i="5"/>
  <c r="T40" i="5"/>
  <c r="T9" i="5"/>
  <c r="C55" i="6" l="1"/>
  <c r="D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<sst xmlns="http://schemas.openxmlformats.org/spreadsheetml/2006/main" count="22575" uniqueCount="15874">
  <si>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</si>
  <si>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</si>
  <si>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</si>
  <si>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</si>
  <si>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</si>
  <si>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</si>
  <si>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</si>
  <si>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</si>
  <si>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</si>
  <si>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</si>
  <si>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</si>
  <si>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</si>
  <si>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</si>
  <si>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</si>
  <si>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</si>
  <si>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</si>
  <si>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</si>
  <si>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</si>
  <si>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</si>
  <si>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</si>
  <si>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</si>
  <si>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</si>
  <si>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</si>
  <si>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</si>
  <si>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</si>
  <si>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</si>
  <si>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</si>
  <si>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</si>
  <si>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</si>
  <si>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</si>
  <si>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</si>
  <si>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</si>
  <si>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</si>
  <si>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</si>
  <si>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</si>
  <si>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</si>
  <si>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</si>
  <si>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</si>
  <si>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</si>
  <si>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</si>
  <si>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</si>
  <si>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</si>
  <si>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</si>
  <si>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</si>
  <si>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</si>
  <si>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</si>
  <si>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</si>
  <si>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</si>
  <si>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</si>
  <si>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</si>
  <si>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</si>
  <si>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</si>
  <si>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</si>
  <si>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</si>
  <si>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</si>
  <si>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</si>
  <si>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</si>
  <si>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</si>
  <si>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</si>
  <si>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</si>
  <si>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</si>
  <si>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</si>
  <si>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</si>
  <si>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</si>
  <si>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</si>
  <si>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</si>
  <si>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</si>
  <si>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</si>
  <si>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</si>
  <si>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</si>
  <si>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</si>
  <si>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</si>
  <si>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</si>
  <si>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</si>
  <si>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</si>
  <si>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</si>
  <si>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</si>
  <si>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</si>
  <si>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</si>
  <si>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</si>
  <si>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</si>
  <si>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</si>
  <si>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</si>
  <si>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</si>
  <si>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</si>
  <si>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</si>
  <si>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</si>
  <si>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</si>
  <si>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</si>
  <si>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</si>
  <si>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</si>
  <si>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</si>
  <si>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</si>
  <si>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</si>
  <si>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</si>
  <si>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</si>
  <si>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</si>
  <si>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</si>
  <si>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</si>
  <si>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</si>
  <si>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</si>
  <si>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</si>
  <si>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</si>
  <si>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</si>
  <si>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</si>
  <si>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</si>
  <si>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</si>
  <si>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</si>
  <si>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</si>
  <si>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</si>
  <si>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</si>
  <si>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</si>
  <si>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</si>
  <si>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</si>
  <si>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</si>
  <si>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</si>
  <si>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</si>
  <si>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</si>
  <si>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</si>
  <si>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</si>
  <si>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</si>
  <si>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</si>
  <si>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</si>
  <si>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</si>
  <si>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</si>
  <si>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</si>
  <si>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</si>
  <si>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</si>
  <si>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</si>
  <si>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</si>
  <si>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</si>
  <si>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</si>
  <si>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</si>
  <si>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</si>
  <si>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</si>
  <si>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</si>
  <si>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</si>
  <si>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</si>
  <si>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</si>
  <si>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</si>
  <si>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</si>
  <si>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</si>
  <si>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</si>
  <si>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</si>
  <si>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</si>
  <si>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</si>
  <si>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</si>
  <si>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</si>
  <si>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</si>
  <si>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</si>
  <si>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</si>
  <si>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</si>
  <si>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</si>
  <si>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</si>
  <si>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</si>
  <si>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</si>
  <si>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</si>
  <si>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</si>
  <si>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</si>
  <si>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</si>
  <si>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</si>
  <si>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</si>
  <si>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</si>
  <si>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</si>
  <si>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</si>
  <si>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</si>
  <si>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</si>
  <si>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</si>
  <si>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</si>
  <si>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</si>
  <si>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</si>
  <si>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</si>
  <si>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</si>
  <si>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</si>
  <si>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</si>
  <si>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</si>
  <si>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</si>
  <si>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</si>
  <si>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</si>
  <si>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</si>
  <si>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</si>
  <si>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</si>
  <si>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</si>
  <si>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</si>
  <si>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</si>
  <si>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</si>
  <si>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</si>
  <si>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</si>
  <si>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</si>
  <si>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</si>
  <si>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</si>
  <si>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</si>
  <si>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</si>
  <si>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</si>
  <si>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</si>
  <si>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</si>
  <si>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</si>
  <si>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</si>
  <si>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</si>
  <si>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</si>
  <si>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</si>
  <si>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</si>
  <si>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</si>
  <si>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</si>
  <si>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</si>
  <si>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</si>
  <si>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</si>
  <si>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</si>
  <si>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</si>
  <si>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</si>
  <si>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</si>
  <si>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</si>
  <si>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</si>
  <si>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</si>
  <si>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</si>
  <si>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</si>
  <si>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</si>
  <si>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</si>
  <si>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</si>
  <si>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</si>
  <si>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</si>
  <si>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</si>
  <si>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</si>
  <si>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</si>
  <si>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</si>
  <si>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</si>
  <si>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</si>
  <si>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</si>
  <si>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</si>
  <si>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</si>
  <si>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</si>
  <si>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</si>
  <si>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</si>
  <si>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</si>
  <si>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</si>
  <si>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</si>
  <si>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</si>
  <si>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</si>
  <si>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</si>
  <si>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</si>
  <si>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</si>
  <si>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</si>
  <si>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</si>
  <si>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</si>
  <si>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</si>
  <si>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</si>
  <si>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</si>
  <si>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</si>
  <si>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</si>
  <si>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</si>
  <si>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</si>
  <si>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</si>
  <si>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</si>
  <si>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</si>
  <si>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</si>
  <si>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</si>
  <si>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</si>
  <si>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</si>
  <si>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</si>
  <si>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</si>
  <si>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</si>
  <si>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</si>
  <si>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</si>
  <si>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</si>
  <si>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</si>
  <si>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</si>
  <si>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</si>
  <si>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</si>
  <si>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</si>
  <si>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</si>
  <si>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</si>
  <si>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</si>
  <si>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</si>
  <si>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</si>
  <si>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</si>
  <si>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</si>
  <si>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</si>
  <si>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</si>
  <si>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</si>
  <si>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</si>
  <si>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</si>
  <si>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</si>
  <si>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</si>
  <si>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</si>
  <si>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</si>
  <si>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</si>
  <si>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</si>
  <si>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</si>
  <si>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</si>
  <si>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</si>
  <si>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</si>
  <si>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</si>
  <si>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</si>
  <si>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</si>
  <si>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</si>
  <si>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</si>
  <si>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</si>
  <si>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</si>
  <si>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</si>
  <si>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</si>
  <si>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</si>
  <si>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</si>
  <si>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</si>
  <si>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</si>
  <si>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</si>
  <si>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</si>
  <si>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</si>
  <si>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</si>
  <si>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</si>
  <si>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</si>
  <si>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</si>
  <si>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</si>
  <si>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</si>
  <si>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</si>
  <si>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</si>
  <si>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</si>
  <si>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</si>
  <si>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</si>
  <si>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</si>
  <si>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</si>
  <si>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</si>
  <si>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</si>
  <si>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</si>
  <si>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</si>
  <si>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</si>
  <si>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</si>
  <si>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</si>
  <si>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</si>
  <si>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</si>
  <si>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</si>
  <si>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</si>
  <si>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</si>
  <si>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</si>
  <si>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</si>
  <si>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</si>
  <si>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</si>
  <si>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</si>
  <si>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</si>
  <si>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</si>
  <si>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</si>
  <si>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</si>
  <si>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</si>
  <si>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</si>
  <si>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</si>
  <si>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</si>
  <si>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</si>
  <si>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</si>
  <si>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</si>
  <si>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</si>
  <si>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</si>
  <si>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</si>
  <si>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</si>
  <si>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</si>
  <si>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</si>
  <si>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</si>
  <si>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</si>
  <si>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</si>
  <si>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</si>
  <si>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</si>
  <si>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</si>
  <si>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</si>
  <si>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</si>
  <si>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</si>
  <si>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</si>
  <si>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</si>
  <si>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</si>
  <si>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</si>
  <si>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</si>
  <si>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</si>
  <si>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</si>
  <si>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</si>
  <si>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</si>
  <si>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</si>
  <si>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</si>
  <si>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</si>
  <si>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</si>
  <si>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</si>
  <si>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</si>
  <si>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</si>
  <si>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</si>
  <si>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</si>
  <si>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</si>
  <si>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</si>
  <si>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</si>
  <si>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</si>
  <si>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</si>
  <si>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</si>
  <si>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</si>
  <si>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</si>
  <si>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</si>
  <si>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</si>
  <si>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</si>
  <si>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</si>
  <si>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</si>
  <si>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</si>
  <si>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</si>
  <si>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</si>
  <si>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</si>
  <si>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</si>
  <si>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</si>
  <si>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</si>
  <si>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</si>
  <si>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</si>
  <si>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</si>
  <si>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</si>
  <si>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</si>
  <si>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</si>
  <si>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</si>
  <si>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</si>
  <si>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</si>
  <si>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</si>
  <si>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</si>
  <si>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</si>
  <si>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</si>
  <si>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</si>
  <si>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</si>
  <si>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</si>
  <si>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</si>
  <si>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</si>
  <si>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</si>
  <si>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</si>
  <si>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</si>
  <si>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</si>
  <si>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</si>
  <si>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</si>
  <si>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</si>
  <si>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</si>
  <si>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</si>
  <si>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</si>
  <si>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</si>
  <si>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</si>
  <si>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</si>
  <si>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</si>
  <si>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</si>
  <si>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</si>
  <si>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</si>
  <si>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</si>
  <si>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</si>
  <si>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</si>
  <si>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</si>
  <si>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</si>
  <si>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</si>
  <si>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</si>
  <si>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</si>
  <si>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</si>
  <si>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</si>
  <si>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</si>
  <si>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</si>
  <si>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</si>
  <si>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</si>
  <si>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</si>
  <si>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</si>
  <si>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</si>
  <si>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</si>
  <si>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</si>
  <si>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</si>
  <si>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</si>
  <si>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</si>
  <si>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</si>
  <si>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</si>
  <si>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</si>
  <si>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</si>
  <si>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</si>
  <si>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</si>
  <si>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</si>
  <si>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</si>
  <si>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</si>
  <si>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</si>
  <si>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</si>
  <si>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</si>
  <si>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</si>
  <si>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</si>
  <si>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</si>
  <si>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</si>
  <si>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</si>
  <si>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</si>
  <si>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</si>
  <si>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</si>
  <si>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</si>
  <si>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</si>
  <si>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</si>
  <si>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</si>
  <si>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</si>
  <si>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</si>
  <si>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</si>
  <si>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</si>
  <si>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</si>
  <si>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</si>
  <si>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</si>
  <si>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</si>
  <si>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</si>
  <si>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</si>
  <si>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</si>
  <si>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</si>
  <si>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</si>
  <si>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</si>
  <si>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</si>
  <si>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</si>
  <si>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</si>
  <si>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</si>
  <si>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</si>
  <si>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</si>
  <si>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</si>
  <si>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</si>
  <si>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</si>
  <si>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</si>
  <si>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</si>
  <si>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</si>
  <si>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</si>
  <si>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</si>
  <si>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</si>
  <si>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</si>
  <si>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</si>
  <si>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</si>
  <si>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</si>
  <si>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</si>
  <si>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</si>
  <si>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</si>
  <si>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</si>
  <si>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</si>
  <si>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</si>
  <si>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</si>
  <si>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</si>
  <si>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</si>
  <si>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</si>
  <si>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</si>
  <si>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</si>
  <si>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</si>
  <si>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</si>
  <si>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</si>
  <si>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</si>
  <si>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</si>
  <si>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</si>
  <si>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</si>
  <si>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</si>
  <si>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</si>
  <si>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</si>
  <si>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</si>
  <si>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</si>
  <si>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</si>
  <si>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</si>
  <si>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</si>
  <si>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</si>
  <si>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</si>
  <si>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</si>
  <si>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</si>
  <si>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</si>
  <si>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</si>
  <si>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</si>
  <si>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</si>
  <si>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</si>
  <si>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</si>
  <si>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</si>
  <si>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</si>
  <si>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</si>
  <si>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</si>
  <si>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</si>
  <si>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</si>
  <si>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</si>
  <si>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</si>
  <si>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</si>
  <si>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</si>
  <si>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</si>
  <si>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</si>
  <si>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</si>
  <si>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</si>
  <si>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</si>
  <si>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</si>
  <si>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</si>
  <si>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</si>
  <si>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</si>
  <si>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</si>
  <si>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</si>
  <si>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</si>
  <si>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</si>
  <si>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</si>
  <si>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</si>
  <si>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</si>
  <si>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</si>
  <si>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</si>
  <si>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</si>
  <si>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</si>
  <si>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</si>
  <si>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</si>
  <si>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</si>
  <si>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</si>
  <si>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</si>
  <si>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</si>
  <si>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</si>
  <si>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</si>
  <si>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</si>
  <si>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</si>
  <si>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</si>
  <si>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</si>
  <si>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</si>
  <si>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</si>
  <si>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</si>
  <si>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</si>
  <si>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</si>
  <si>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</si>
  <si>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</si>
  <si>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</si>
  <si>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</si>
  <si>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</si>
  <si>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</si>
  <si>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</si>
  <si>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</si>
  <si>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</si>
  <si>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</si>
  <si>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</si>
  <si>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</si>
  <si>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</si>
  <si>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</si>
  <si>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</si>
  <si>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</si>
  <si>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</si>
  <si>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</si>
  <si>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</si>
  <si>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</si>
  <si>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</si>
  <si>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</si>
  <si>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</si>
  <si>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</si>
  <si>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</si>
  <si>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</si>
  <si>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</si>
  <si>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</si>
  <si>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</si>
  <si>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</si>
  <si>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</si>
  <si>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</si>
  <si>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</si>
  <si>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</si>
  <si>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</si>
  <si>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</si>
  <si>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</si>
  <si>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</si>
  <si>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</si>
  <si>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</si>
  <si>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</si>
  <si>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</si>
  <si>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</si>
  <si>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</si>
  <si>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</si>
  <si>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</si>
  <si>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</si>
  <si>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</si>
  <si>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</si>
  <si>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</si>
  <si>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</si>
  <si>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</si>
  <si>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</si>
  <si>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</si>
  <si>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</si>
  <si>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</si>
  <si>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</si>
  <si>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</si>
  <si>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</si>
  <si>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</si>
  <si>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</si>
  <si>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</si>
  <si>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</si>
  <si>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</si>
  <si>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</si>
  <si>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</si>
  <si>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</si>
  <si>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</si>
  <si>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</si>
  <si>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</si>
  <si>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</si>
  <si>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</si>
  <si>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</si>
  <si>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</si>
  <si>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</si>
  <si>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</si>
  <si>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</si>
  <si>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</si>
  <si>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</si>
  <si>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</si>
  <si>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</si>
  <si>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</si>
  <si>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</si>
  <si>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</si>
  <si>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</si>
  <si>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</si>
  <si>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</si>
  <si>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</si>
  <si>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</si>
  <si>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</si>
  <si>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</si>
  <si>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</si>
  <si>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</si>
  <si>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</si>
  <si>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</si>
  <si>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</si>
  <si>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</si>
  <si>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</si>
  <si>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</si>
  <si>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</si>
  <si>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</si>
  <si>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</si>
  <si>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</si>
  <si>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</si>
  <si>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</si>
  <si>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</si>
  <si>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</si>
  <si>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</si>
  <si>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</si>
  <si>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</si>
  <si>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</si>
  <si>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</si>
  <si>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</si>
  <si>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</si>
  <si>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</si>
  <si>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</si>
  <si>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</si>
  <si>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</si>
  <si>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</si>
  <si>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</si>
  <si>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</si>
  <si>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</si>
  <si>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</si>
  <si>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</si>
  <si>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</si>
  <si>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</si>
  <si>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</si>
  <si>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</si>
  <si>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</si>
  <si>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</si>
  <si>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</si>
  <si>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</si>
  <si>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</si>
  <si>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</si>
  <si>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</si>
  <si>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</si>
  <si>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</si>
  <si>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</si>
  <si>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</si>
  <si>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</si>
  <si>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</si>
  <si>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</si>
  <si>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</si>
  <si>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</si>
  <si>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</si>
  <si>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</si>
  <si>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</si>
  <si>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</si>
  <si>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</si>
  <si>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</si>
  <si>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</si>
  <si>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</si>
  <si>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</si>
  <si>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</si>
  <si>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</si>
  <si>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</si>
  <si>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</si>
  <si>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</si>
  <si>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</si>
  <si>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</si>
  <si>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</si>
  <si>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</si>
  <si>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</si>
  <si>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</si>
  <si>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</si>
  <si>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</si>
  <si>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</si>
  <si>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</si>
  <si>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</si>
  <si>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</si>
  <si>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</si>
  <si>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</si>
  <si>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</si>
  <si>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</si>
  <si>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</si>
  <si>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</si>
  <si>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</si>
  <si>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</si>
  <si>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</si>
  <si>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</si>
  <si>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</si>
  <si>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</si>
  <si>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</si>
  <si>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</si>
  <si>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</si>
  <si>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</si>
  <si>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</si>
  <si>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</si>
  <si>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</si>
  <si>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</si>
  <si>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</si>
  <si>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</si>
  <si>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</si>
  <si>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</si>
  <si>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</si>
  <si>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</si>
  <si>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</si>
  <si>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</si>
  <si>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</si>
  <si>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</si>
  <si>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</si>
  <si>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</si>
  <si>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</si>
  <si>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</si>
  <si>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</si>
  <si>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</si>
  <si>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</si>
  <si>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</si>
  <si>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</si>
  <si>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</si>
  <si>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</si>
  <si>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</si>
  <si>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</si>
  <si>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</si>
  <si>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</si>
  <si>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</si>
  <si>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</si>
  <si>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</si>
  <si>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</si>
  <si>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</si>
  <si>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</si>
  <si>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</si>
  <si>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</si>
  <si>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</si>
  <si>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</si>
  <si>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</si>
  <si>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</si>
  <si>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</si>
  <si>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</si>
  <si>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</si>
  <si>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</si>
  <si>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</si>
  <si>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</si>
  <si>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</si>
  <si>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</si>
  <si>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</si>
  <si>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</si>
  <si>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</si>
  <si>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</si>
  <si>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</si>
  <si>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</si>
  <si>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</si>
  <si>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</si>
  <si>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</si>
  <si>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</si>
  <si>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</si>
  <si>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</si>
  <si>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</si>
  <si>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</si>
  <si>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</si>
  <si>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</si>
  <si>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</si>
  <si>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</si>
  <si>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</si>
  <si>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</si>
  <si>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</si>
  <si>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</si>
  <si>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</si>
  <si>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</si>
  <si>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</si>
  <si>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</si>
  <si>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</si>
  <si>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</si>
  <si>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</si>
  <si>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</si>
  <si>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</si>
  <si>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</si>
  <si>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</si>
  <si>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</si>
  <si>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</si>
  <si>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</si>
  <si>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</si>
  <si>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</si>
  <si>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</si>
  <si>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</si>
  <si>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</si>
  <si>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</si>
  <si>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</si>
  <si>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</si>
  <si>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</si>
  <si>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</si>
  <si>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</si>
  <si>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</si>
  <si>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</si>
  <si>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</si>
  <si>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</si>
  <si>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</si>
  <si>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</si>
  <si>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</si>
  <si>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</si>
  <si>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</si>
  <si>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</si>
  <si>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</si>
  <si>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</si>
  <si>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</si>
  <si>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</si>
  <si>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</si>
  <si>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</si>
  <si>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</si>
  <si>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</si>
  <si>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</si>
  <si>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</si>
  <si>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</si>
  <si>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</si>
  <si>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</si>
  <si>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</si>
  <si>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</si>
  <si>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</si>
  <si>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</si>
  <si>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</si>
  <si>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</si>
  <si>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</si>
  <si>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</si>
  <si>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</si>
  <si>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</si>
  <si>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</si>
  <si>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</si>
  <si>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</si>
  <si>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</si>
  <si>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</si>
  <si>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</si>
  <si>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</si>
  <si>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</si>
  <si>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</si>
  <si>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</si>
  <si>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</si>
  <si>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</si>
  <si>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</si>
  <si>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</si>
  <si>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</si>
  <si>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</si>
  <si>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</si>
  <si>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</si>
  <si>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</si>
  <si>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</si>
  <si>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</si>
  <si>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</si>
  <si>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</si>
  <si>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</si>
  <si>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</si>
  <si>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</si>
  <si>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</si>
  <si>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</si>
  <si>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</si>
  <si>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</si>
  <si>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</si>
  <si>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</si>
  <si>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</si>
  <si>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</si>
  <si>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</si>
  <si>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</si>
  <si>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</si>
  <si>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</si>
  <si>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</si>
  <si>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</si>
  <si>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</si>
  <si>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</si>
  <si>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</si>
  <si>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</si>
  <si>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</si>
  <si>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</si>
  <si>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</si>
  <si>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</si>
  <si>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</si>
  <si>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</si>
  <si>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</si>
  <si>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</si>
  <si>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</si>
  <si>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</si>
  <si>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</si>
  <si>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</si>
  <si>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</si>
  <si>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</si>
  <si>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</si>
  <si>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</si>
  <si>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</si>
  <si>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</si>
  <si>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</si>
  <si>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</si>
  <si>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</si>
  <si>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</si>
  <si>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</si>
  <si>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</si>
  <si>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</si>
  <si>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</si>
  <si>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</si>
  <si>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</si>
  <si>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</si>
  <si>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</si>
  <si>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</si>
  <si>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</si>
  <si>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</si>
  <si>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</si>
  <si>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</si>
  <si>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</si>
  <si>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</si>
  <si>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</si>
  <si>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</si>
  <si>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</si>
  <si>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</si>
  <si>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</si>
  <si>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</si>
  <si>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</si>
  <si>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</si>
  <si>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</si>
  <si>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</si>
  <si>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</si>
  <si>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</si>
  <si>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</si>
  <si>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</si>
  <si>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</si>
  <si>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</si>
  <si>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</si>
  <si>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</si>
  <si>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</si>
  <si>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</si>
  <si>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</si>
  <si>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</si>
  <si>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</si>
  <si>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</si>
  <si>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</si>
  <si>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</si>
  <si>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</si>
  <si>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</si>
  <si>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</si>
  <si>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</si>
  <si>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</si>
  <si>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</si>
  <si>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</si>
  <si>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</si>
  <si>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</si>
  <si>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</si>
  <si>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</si>
  <si>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</si>
  <si>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</si>
  <si>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</si>
  <si>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</si>
  <si>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</si>
  <si>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</si>
  <si>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</si>
  <si>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</si>
  <si>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</si>
  <si>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</si>
  <si>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</si>
  <si>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</si>
  <si>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</si>
  <si>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</si>
  <si>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</si>
  <si>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</si>
  <si>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</si>
  <si>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</si>
  <si>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</si>
  <si>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</si>
  <si>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</si>
  <si>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</si>
  <si>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</si>
  <si>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</si>
  <si>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</si>
  <si>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</si>
  <si>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</si>
  <si>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</si>
  <si>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</si>
  <si>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</si>
  <si>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</si>
  <si>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</si>
  <si>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</si>
  <si>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</si>
  <si>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</si>
  <si>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</si>
  <si>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</si>
  <si>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</si>
  <si>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</si>
  <si>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</si>
  <si>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</si>
  <si>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</si>
  <si>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</si>
  <si>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</si>
  <si>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</si>
  <si>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</si>
  <si>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</si>
  <si>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</si>
  <si>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</si>
  <si>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</si>
  <si>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</si>
  <si>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</si>
  <si>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</si>
  <si>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</si>
  <si>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</si>
  <si>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</si>
  <si>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</si>
  <si>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</si>
  <si>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</si>
  <si>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</si>
  <si>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</si>
  <si>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</si>
  <si>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</si>
  <si>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</si>
  <si>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</si>
  <si>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</si>
  <si>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</si>
  <si>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</si>
  <si>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</si>
  <si>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</si>
  <si>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</si>
  <si>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</si>
  <si>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</si>
  <si>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</si>
  <si>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</si>
  <si>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</si>
  <si>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</si>
  <si>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</si>
  <si>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</si>
  <si>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</si>
  <si>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</si>
  <si>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</si>
  <si>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</si>
  <si>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</si>
  <si>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</si>
  <si>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</si>
  <si>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</si>
  <si>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</si>
  <si>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</si>
  <si>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</si>
  <si>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</si>
  <si>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</si>
  <si>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</si>
  <si>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</si>
  <si>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</si>
  <si>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</si>
  <si>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</si>
  <si>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</si>
  <si>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</si>
  <si>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</si>
  <si>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</si>
  <si>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</si>
  <si>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</si>
  <si>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</si>
  <si>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</si>
  <si>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</si>
  <si>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</si>
  <si>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</si>
  <si>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</si>
  <si>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</si>
  <si>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</si>
  <si>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</si>
  <si>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</si>
  <si>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</si>
  <si>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</si>
  <si>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</si>
  <si>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</si>
  <si>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</si>
  <si>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</si>
  <si>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</si>
  <si>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</si>
  <si>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</si>
  <si>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</si>
  <si>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</si>
  <si>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</si>
  <si>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</si>
  <si>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</si>
  <si>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</si>
  <si>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</si>
  <si>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</si>
  <si>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</si>
  <si>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</si>
  <si>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</si>
  <si>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</si>
  <si>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</si>
  <si>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</si>
  <si>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</si>
  <si>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</si>
  <si>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</si>
  <si>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</si>
  <si>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</si>
  <si>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</si>
  <si>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</si>
  <si>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</si>
  <si>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</si>
  <si>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</si>
  <si>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</si>
  <si>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</si>
  <si>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</si>
  <si>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</si>
  <si>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</si>
  <si>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</si>
  <si>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</si>
  <si>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</si>
  <si>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</si>
  <si>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</si>
  <si>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</si>
  <si>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</si>
  <si>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</si>
  <si>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</si>
  <si>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</si>
  <si>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</si>
  <si>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</si>
  <si>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</si>
  <si>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</si>
  <si>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</si>
  <si>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</si>
  <si>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</si>
  <si>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</si>
  <si>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</si>
  <si>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</si>
  <si>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</si>
  <si>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</si>
  <si>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</si>
  <si>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</si>
  <si>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</si>
  <si>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</si>
  <si>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</si>
  <si>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</si>
  <si>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</si>
  <si>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</si>
  <si>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</si>
  <si>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</si>
  <si>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</si>
  <si>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</si>
  <si>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</si>
  <si>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</si>
  <si>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</si>
  <si>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</si>
  <si>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</si>
  <si>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</si>
  <si>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</si>
  <si>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</si>
  <si>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</si>
  <si>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</si>
  <si>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</si>
  <si>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</si>
  <si>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</si>
  <si>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</si>
  <si>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</si>
  <si>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</si>
  <si>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</si>
  <si>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</si>
  <si>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</si>
  <si>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</si>
  <si>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</si>
  <si>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</si>
  <si>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</si>
  <si>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</si>
  <si>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</si>
  <si>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</si>
  <si>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</si>
  <si>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</si>
  <si>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</si>
  <si>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</si>
  <si>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</si>
  <si>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</si>
  <si>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</si>
  <si>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</si>
  <si>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</si>
  <si>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</si>
  <si>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</si>
  <si>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</si>
  <si>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</si>
  <si>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</si>
  <si>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</si>
  <si>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</si>
  <si>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</si>
  <si>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</si>
  <si>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</si>
  <si>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</si>
  <si>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</si>
  <si>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</si>
  <si>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</si>
  <si>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</si>
  <si>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</si>
  <si>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</si>
  <si>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</si>
  <si>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</si>
  <si>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</si>
  <si>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</si>
  <si>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</si>
  <si>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</si>
  <si>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</si>
  <si>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</si>
  <si>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</si>
  <si>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</si>
  <si>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</si>
  <si>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</si>
  <si>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</si>
  <si>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</si>
  <si>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</si>
  <si>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</si>
  <si>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</si>
  <si>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</si>
  <si>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</si>
  <si>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</si>
  <si>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</si>
  <si>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</si>
  <si>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</si>
  <si>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</si>
  <si>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</si>
  <si>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</si>
  <si>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</si>
  <si>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</si>
  <si>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</si>
  <si>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</si>
  <si>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</si>
  <si>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</si>
  <si>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</si>
  <si>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</si>
  <si>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</si>
  <si>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</si>
  <si>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</si>
  <si>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</si>
  <si>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</si>
  <si>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</si>
  <si>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</si>
  <si>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</si>
  <si>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</si>
  <si>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</si>
  <si>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</si>
  <si>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</si>
  <si>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</si>
  <si>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</si>
  <si>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</si>
  <si>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</si>
  <si>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</si>
  <si>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</si>
  <si>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</si>
  <si>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</si>
  <si>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</si>
  <si>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</si>
  <si>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</si>
  <si>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</si>
  <si>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</si>
  <si>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</si>
  <si>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</si>
  <si>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</si>
  <si>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</si>
  <si>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</si>
  <si>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</si>
  <si>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</si>
  <si>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</si>
  <si>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</si>
  <si>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</si>
  <si>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</si>
  <si>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</si>
  <si>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</si>
  <si>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</si>
  <si>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</si>
  <si>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</si>
  <si>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</si>
  <si>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</si>
  <si>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</si>
  <si>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</si>
  <si>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</si>
  <si>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</si>
  <si>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</si>
  <si>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</si>
  <si>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</si>
  <si>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</si>
  <si>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</si>
  <si>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</si>
  <si>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</si>
  <si>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</si>
  <si>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</si>
  <si>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</si>
  <si>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</si>
  <si>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</si>
  <si>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</si>
  <si>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</si>
  <si>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</si>
  <si>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</si>
  <si>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</si>
  <si>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</si>
  <si>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</si>
  <si>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</si>
  <si>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</si>
  <si>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</si>
  <si>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</si>
  <si>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</si>
  <si>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</si>
  <si>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</si>
  <si>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</si>
  <si>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</si>
  <si>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</si>
  <si>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</si>
  <si>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</si>
  <si>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</si>
  <si>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</si>
  <si>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</si>
  <si>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</si>
  <si>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</si>
  <si>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</si>
  <si>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</si>
  <si>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</si>
  <si>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</si>
  <si>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</si>
  <si>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</si>
  <si>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</si>
  <si>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</si>
  <si>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</si>
  <si>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</si>
  <si>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</si>
  <si>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</si>
  <si>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</si>
  <si>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</si>
  <si>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</si>
  <si>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</si>
  <si>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</si>
  <si>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</si>
  <si>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</si>
  <si>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</si>
  <si>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</si>
  <si>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</si>
  <si>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</si>
  <si>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</si>
  <si>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</si>
  <si>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</si>
  <si>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</si>
  <si>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</si>
  <si>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</si>
  <si>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</si>
  <si>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</si>
  <si>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</si>
  <si>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</si>
  <si>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</si>
  <si>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</si>
  <si>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</si>
  <si>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</si>
  <si>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</si>
  <si>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</si>
  <si>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</si>
  <si>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</si>
  <si>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</si>
  <si>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</si>
  <si>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</si>
  <si>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</si>
  <si>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</si>
  <si>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</si>
  <si>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</si>
  <si>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</si>
  <si>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</si>
  <si>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</si>
  <si>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</si>
  <si>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</si>
  <si>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</si>
  <si>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</si>
  <si>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</si>
  <si>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</si>
  <si>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</si>
  <si>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</si>
  <si>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</si>
  <si>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</si>
  <si>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</si>
  <si>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</si>
  <si>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</si>
  <si>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</si>
  <si>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</si>
  <si>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</si>
  <si>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</si>
  <si>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</si>
  <si>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</si>
  <si>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</si>
  <si>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</si>
  <si>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</si>
  <si>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</si>
  <si>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</si>
  <si>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</si>
  <si>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</si>
  <si>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</si>
  <si>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</si>
  <si>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</si>
  <si>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</si>
  <si>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</si>
  <si>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</si>
  <si>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</si>
  <si>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</si>
  <si>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</si>
  <si>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</si>
  <si>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</si>
  <si>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</si>
  <si>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</si>
  <si>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</si>
  <si>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</si>
  <si>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</si>
  <si>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</si>
  <si>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</si>
  <si>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</si>
  <si>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</si>
  <si>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</si>
  <si>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</si>
  <si>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</si>
  <si>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</si>
  <si>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</si>
  <si>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</si>
  <si>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</si>
  <si>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</si>
  <si>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</si>
  <si>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</si>
  <si>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</si>
  <si>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</si>
  <si>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</si>
  <si>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</si>
  <si>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</si>
  <si>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</si>
  <si>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</si>
  <si>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</si>
  <si>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</si>
  <si>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</si>
  <si>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</si>
  <si>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</si>
  <si>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</si>
  <si>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</si>
  <si>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</si>
  <si>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</si>
  <si>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</si>
  <si>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</si>
  <si>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</si>
  <si>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</si>
  <si>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</si>
  <si>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</si>
  <si>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</si>
  <si>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</si>
  <si>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</si>
  <si>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</si>
  <si>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</si>
  <si>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</si>
  <si>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</si>
  <si>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</si>
  <si>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</si>
  <si>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</si>
  <si>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</si>
  <si>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</si>
  <si>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</si>
  <si>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</si>
  <si>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</si>
  <si>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</si>
  <si>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</si>
  <si>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</si>
  <si>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</si>
  <si>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</si>
  <si>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</si>
  <si>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</si>
  <si>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</si>
  <si>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</si>
  <si>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</si>
  <si>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</si>
  <si>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</si>
  <si>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</si>
  <si>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</si>
  <si>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</si>
  <si>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</si>
  <si>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</si>
  <si>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</si>
  <si>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</si>
  <si>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</si>
  <si>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</si>
  <si>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</si>
  <si>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</si>
  <si>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</si>
  <si>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</si>
  <si>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</si>
  <si>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</si>
  <si>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</si>
  <si>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</si>
  <si>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</si>
  <si>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</si>
  <si>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</si>
  <si>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</si>
  <si>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</si>
  <si>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</si>
  <si>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</si>
  <si>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</si>
  <si>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</si>
  <si>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</si>
  <si>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</si>
  <si>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</si>
  <si>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</si>
  <si>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</si>
  <si>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</si>
  <si>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</si>
  <si>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</si>
  <si>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</si>
  <si>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</si>
  <si>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</si>
  <si>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</si>
  <si>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</si>
  <si>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</si>
  <si>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</si>
  <si>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</si>
  <si>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</si>
  <si>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</si>
  <si>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</si>
  <si>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</si>
  <si>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</si>
  <si>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</si>
  <si>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</si>
  <si>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</si>
  <si>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</si>
  <si>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</si>
  <si>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</si>
  <si>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</si>
  <si>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</si>
  <si>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</si>
  <si>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</si>
  <si>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</si>
  <si>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</si>
  <si>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</si>
  <si>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</si>
  <si>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</si>
  <si>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</si>
  <si>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</si>
  <si>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</si>
  <si>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</si>
  <si>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</si>
  <si>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</si>
  <si>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</si>
  <si>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</si>
  <si>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</si>
  <si>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</si>
  <si>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</si>
  <si>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</si>
  <si>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</si>
  <si>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</si>
  <si>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</si>
  <si>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</si>
  <si>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</si>
  <si>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</si>
  <si>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</si>
  <si>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</si>
  <si>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</si>
  <si>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</si>
  <si>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</si>
  <si>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</si>
  <si>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</si>
  <si>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</si>
  <si>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</si>
  <si>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</si>
  <si>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</si>
  <si>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</si>
  <si>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</si>
  <si>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</si>
  <si>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</si>
  <si>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</si>
  <si>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</si>
  <si>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</si>
  <si>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</si>
  <si>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</si>
  <si>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</si>
  <si>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</si>
  <si>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</si>
  <si>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</si>
  <si>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</si>
  <si>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</si>
  <si>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</si>
  <si>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</si>
  <si>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</si>
  <si>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</si>
  <si>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</si>
  <si>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</si>
  <si>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</si>
  <si>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</si>
  <si>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</si>
  <si>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</si>
  <si>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</si>
  <si>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</si>
  <si>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</si>
  <si>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</si>
  <si>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</si>
  <si>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</si>
  <si>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</si>
  <si>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</si>
  <si>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</si>
  <si>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</si>
  <si>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</si>
  <si>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</si>
  <si>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</si>
  <si>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</si>
  <si>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</si>
  <si>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</si>
  <si>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</si>
  <si>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</si>
  <si>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</si>
  <si>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</si>
  <si>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</si>
  <si>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</si>
  <si>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</si>
  <si>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</si>
  <si>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</si>
  <si>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</si>
  <si>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</si>
  <si>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</si>
  <si>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</si>
  <si>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</si>
  <si>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</si>
  <si>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</si>
  <si>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</si>
  <si>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</si>
  <si>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</si>
  <si>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</si>
  <si>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</si>
  <si>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</si>
  <si>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</si>
  <si>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</si>
  <si>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</si>
  <si>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</si>
  <si>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</si>
  <si>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</si>
  <si>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</si>
  <si>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</si>
  <si>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</si>
  <si>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</si>
  <si>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</si>
  <si>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</si>
  <si>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</si>
  <si>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</si>
  <si>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</si>
  <si>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</si>
  <si>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</si>
  <si>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</si>
  <si>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</si>
  <si>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</si>
  <si>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</si>
  <si>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</si>
  <si>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</si>
  <si>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</si>
  <si>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</si>
  <si>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</si>
  <si>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</si>
  <si>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</si>
  <si>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</si>
  <si>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</si>
  <si>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</si>
  <si>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</si>
  <si>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</si>
  <si>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</si>
  <si>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</si>
  <si>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</si>
  <si>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</si>
  <si>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</si>
  <si>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</si>
  <si>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</si>
  <si>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</si>
  <si>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</si>
  <si>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</si>
  <si>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</si>
  <si>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</si>
  <si>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</si>
  <si>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</si>
  <si>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</si>
  <si>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</si>
  <si>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</si>
  <si>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</si>
  <si>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</si>
  <si>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</si>
  <si>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</si>
  <si>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</si>
  <si>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</si>
  <si>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</si>
  <si>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</si>
  <si>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</si>
  <si>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</si>
  <si>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</si>
  <si>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</si>
  <si>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</si>
  <si>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</si>
  <si>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</si>
  <si>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</si>
  <si>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</si>
  <si>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</si>
  <si>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</si>
  <si>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</si>
  <si>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</si>
  <si>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</si>
  <si>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</si>
  <si>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</si>
  <si>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</si>
  <si>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</si>
  <si>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</si>
  <si>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</si>
  <si>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</si>
  <si>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</si>
  <si>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</si>
  <si>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</si>
  <si>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</si>
  <si>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</si>
  <si>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</si>
  <si>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</si>
  <si>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</si>
  <si>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</si>
  <si>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</si>
  <si>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</si>
  <si>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</si>
  <si>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</si>
  <si>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</si>
  <si>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</si>
  <si>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</si>
  <si>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</si>
  <si>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</si>
  <si>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</si>
  <si>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</si>
  <si>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</si>
  <si>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</si>
  <si>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</si>
  <si>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</si>
  <si>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</si>
  <si>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</si>
  <si>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</si>
  <si>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</si>
  <si>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</si>
  <si>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</si>
  <si>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</si>
  <si>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</si>
  <si>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</si>
  <si>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</si>
  <si>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</si>
  <si>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</si>
  <si>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</si>
  <si>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</si>
  <si>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</si>
  <si>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</si>
  <si>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</si>
  <si>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</si>
  <si>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</si>
  <si>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</si>
  <si>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</si>
  <si>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</si>
  <si>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</si>
  <si>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</si>
  <si>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</si>
  <si>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</si>
  <si>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</si>
  <si>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</si>
  <si>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</si>
  <si>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</si>
  <si>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</si>
  <si>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</si>
  <si>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</si>
  <si>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</si>
  <si>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</si>
  <si>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</si>
  <si>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</si>
  <si>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</si>
  <si>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</si>
  <si>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</si>
  <si>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</si>
  <si>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</si>
  <si>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</si>
  <si>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</si>
  <si>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</si>
  <si>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</si>
  <si>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</si>
  <si>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</si>
  <si>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</si>
  <si>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</si>
  <si>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</si>
  <si>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</si>
  <si>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</si>
  <si>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</si>
  <si>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</si>
  <si>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</si>
  <si>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</si>
  <si>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</si>
  <si>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</si>
  <si>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</si>
  <si>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</si>
  <si>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</si>
  <si>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</si>
  <si>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</si>
  <si>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</si>
  <si>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</si>
  <si>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</si>
  <si>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</si>
  <si>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</si>
  <si>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</si>
  <si>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</si>
  <si>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</si>
  <si>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</si>
  <si>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</si>
  <si>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</si>
  <si>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</si>
  <si>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</si>
  <si>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</si>
  <si>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</si>
  <si>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</si>
  <si>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</si>
  <si>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</si>
  <si>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</si>
  <si>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</si>
  <si>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</si>
  <si>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</si>
  <si>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</si>
  <si>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</si>
  <si>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</si>
  <si>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</si>
  <si>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</si>
  <si>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</si>
  <si>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</si>
  <si>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</si>
  <si>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</si>
  <si>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</si>
  <si>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</si>
  <si>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</si>
  <si>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</si>
  <si>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</si>
  <si>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</si>
  <si>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</si>
  <si>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</si>
  <si>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</si>
  <si>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</si>
  <si>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</si>
  <si>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</si>
  <si>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</si>
  <si>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</si>
  <si>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</si>
  <si>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</si>
  <si>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</si>
  <si>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</si>
  <si>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</si>
  <si>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</si>
  <si>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</si>
  <si>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</si>
  <si>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</si>
  <si>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</si>
  <si>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</si>
  <si>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</si>
  <si>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</si>
  <si>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</si>
  <si>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</si>
  <si>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</si>
  <si>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</si>
  <si>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</si>
  <si>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</si>
  <si>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</si>
  <si>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</si>
  <si>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</si>
  <si>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</si>
  <si>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</si>
  <si>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</si>
  <si>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</si>
  <si>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</si>
  <si>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</si>
  <si>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</si>
  <si>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</si>
  <si>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</si>
  <si>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</si>
  <si>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</si>
  <si>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</si>
  <si>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</si>
  <si>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</si>
  <si>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</si>
  <si>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</si>
  <si>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</si>
  <si>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</si>
  <si>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</si>
  <si>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</si>
  <si>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</si>
  <si>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</si>
  <si>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</si>
  <si>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</si>
  <si>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</si>
  <si>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</si>
  <si>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</si>
  <si>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</si>
  <si>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</si>
  <si>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</si>
  <si>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</si>
  <si>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</si>
  <si>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</si>
  <si>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</si>
  <si>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</si>
  <si>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</si>
  <si>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</si>
  <si>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</si>
  <si>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</si>
  <si>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</si>
  <si>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</si>
  <si>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</si>
  <si>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</si>
  <si>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</si>
  <si>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</si>
  <si>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</si>
  <si>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</si>
  <si>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</si>
  <si>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</si>
  <si>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</si>
  <si>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</si>
  <si>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</si>
  <si>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</si>
  <si>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</si>
  <si>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</si>
  <si>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</si>
  <si>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</si>
  <si>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</si>
  <si>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</si>
  <si>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</si>
  <si>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</si>
  <si>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</si>
  <si>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</si>
  <si>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</si>
  <si>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</si>
  <si>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</si>
  <si>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</si>
  <si>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</si>
  <si>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</si>
  <si>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</si>
  <si>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</si>
  <si>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</si>
  <si>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</si>
  <si>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</si>
  <si>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</si>
  <si>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</si>
  <si>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</si>
  <si>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</si>
  <si>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</si>
  <si>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</si>
  <si>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</si>
  <si>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</si>
  <si>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</si>
  <si>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</si>
  <si>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</si>
  <si>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</si>
  <si>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</si>
  <si>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</si>
  <si>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</si>
  <si>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</si>
  <si>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</si>
  <si>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</si>
  <si>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</si>
  <si>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</si>
  <si>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</si>
  <si>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</si>
  <si>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</si>
  <si>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</si>
  <si>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</si>
  <si>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</si>
  <si>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</si>
  <si>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</si>
  <si>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</si>
  <si>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</si>
  <si>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</si>
  <si>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</si>
  <si>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</si>
  <si>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</si>
  <si>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</si>
  <si>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</si>
  <si>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</si>
  <si>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</si>
  <si>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</si>
  <si>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</si>
  <si>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</si>
  <si>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</si>
  <si>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</si>
  <si>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</si>
  <si>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</si>
  <si>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</si>
  <si>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</si>
  <si>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</si>
  <si>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</si>
  <si>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</si>
  <si>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</si>
  <si>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</si>
  <si>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</si>
  <si>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</si>
  <si>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</si>
  <si>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</si>
  <si>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</si>
  <si>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</si>
  <si>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</si>
  <si>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</si>
  <si>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</si>
  <si>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</si>
  <si>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</si>
  <si>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</si>
  <si>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</si>
  <si>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</si>
  <si>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</si>
  <si>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</si>
  <si>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</si>
  <si>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</si>
  <si>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</si>
  <si>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</si>
  <si>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</si>
  <si>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</si>
  <si>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</si>
  <si>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</si>
  <si>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</si>
  <si>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</si>
  <si>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</si>
  <si>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</si>
  <si>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</si>
  <si>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</si>
  <si>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</si>
  <si>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</si>
  <si>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</si>
  <si>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</si>
  <si>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</si>
  <si>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</si>
  <si>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</si>
  <si>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</si>
  <si>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</si>
  <si>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</si>
  <si>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</si>
  <si>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</si>
  <si>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</si>
  <si>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</si>
  <si>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</si>
  <si>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</si>
  <si>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</si>
  <si>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</si>
  <si>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</si>
  <si>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</si>
  <si>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</si>
  <si>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</si>
  <si>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</si>
  <si>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</si>
  <si>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</si>
  <si>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</si>
  <si>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</si>
  <si>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</si>
  <si>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</si>
  <si>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</si>
  <si>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</si>
  <si>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</si>
  <si>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</si>
  <si>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</si>
  <si>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</si>
  <si>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</si>
  <si>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</si>
  <si>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</si>
  <si>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</si>
  <si>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</si>
  <si>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</si>
  <si>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</si>
  <si>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</si>
  <si>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</si>
  <si>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</si>
  <si>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</si>
  <si>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</si>
  <si>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</si>
  <si>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</si>
  <si>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</si>
  <si>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</si>
  <si>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</si>
  <si>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</si>
  <si>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</si>
  <si>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</si>
  <si>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</si>
  <si>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</si>
  <si>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</si>
  <si>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</si>
  <si>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</si>
  <si>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</si>
  <si>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</si>
  <si>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</si>
  <si>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</si>
  <si>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</si>
  <si>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</si>
  <si>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</si>
  <si>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</si>
  <si>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</si>
  <si>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</si>
  <si>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</si>
  <si>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</si>
  <si>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</si>
  <si>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</si>
  <si>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</si>
  <si>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</si>
  <si>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</si>
  <si>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</si>
  <si>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</si>
  <si>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</si>
  <si>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</si>
  <si>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</si>
  <si>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</si>
  <si>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</si>
  <si>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</si>
  <si>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</si>
  <si>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</si>
  <si>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</si>
  <si>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</si>
  <si>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</si>
  <si>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</si>
  <si>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</si>
  <si>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</si>
  <si>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</si>
  <si>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</si>
  <si>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</si>
  <si>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</si>
  <si>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</si>
  <si>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</si>
  <si>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</si>
  <si>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</si>
  <si>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</si>
  <si>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</si>
  <si>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</si>
  <si>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</si>
  <si>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</si>
  <si>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</si>
  <si>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</si>
  <si>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</si>
  <si>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</si>
  <si>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</si>
  <si>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</si>
  <si>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</si>
  <si>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</si>
  <si>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</si>
  <si>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</si>
  <si>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</si>
  <si>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</si>
  <si>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</si>
  <si>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</si>
  <si>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</si>
  <si>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</si>
  <si>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</si>
  <si>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</si>
  <si>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</si>
  <si>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</si>
  <si>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</si>
  <si>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</si>
  <si>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</si>
  <si>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</si>
  <si>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</si>
  <si>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</si>
  <si>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</si>
  <si>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</si>
  <si>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</si>
  <si>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</si>
  <si>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</si>
  <si>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</si>
  <si>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</si>
  <si>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</si>
  <si>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</si>
  <si>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</si>
  <si>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</si>
  <si>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</si>
  <si>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</si>
  <si>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</si>
  <si>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</si>
  <si>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</si>
  <si>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</si>
  <si>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</si>
  <si>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</si>
  <si>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</si>
  <si>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</si>
  <si>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</si>
  <si>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</si>
  <si>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</si>
  <si>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</si>
  <si>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</si>
  <si>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</si>
  <si>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</si>
  <si>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</si>
  <si>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</si>
  <si>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</si>
  <si>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</si>
  <si>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</si>
  <si>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</si>
  <si>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</si>
  <si>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</si>
  <si>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</si>
  <si>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</si>
  <si>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</si>
  <si>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</si>
  <si>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</si>
  <si>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</si>
  <si>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</si>
  <si>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</si>
  <si>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</si>
  <si>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</si>
  <si>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</si>
  <si>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</si>
  <si>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</si>
  <si>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</si>
  <si>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</si>
  <si>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</si>
  <si>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</si>
  <si>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</si>
  <si>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</si>
  <si>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</si>
  <si>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</si>
  <si>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</si>
  <si>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</si>
  <si>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</si>
  <si>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</si>
  <si>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</si>
  <si>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</si>
  <si>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</si>
  <si>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</si>
  <si>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</si>
  <si>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</si>
  <si>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</si>
  <si>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</si>
  <si>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</si>
  <si>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</si>
  <si>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</si>
  <si>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</si>
  <si>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</si>
  <si>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</si>
  <si>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</si>
  <si>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</si>
  <si>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</si>
  <si>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</si>
  <si>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</si>
  <si>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</si>
  <si>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</si>
  <si>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</si>
  <si>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</si>
  <si>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</si>
  <si>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</si>
  <si>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</si>
  <si>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</si>
  <si>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</si>
  <si>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</si>
  <si>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</si>
  <si>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</si>
  <si>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</si>
  <si>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</si>
  <si>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</si>
  <si>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</si>
  <si>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</si>
  <si>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</si>
  <si>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</si>
  <si>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</si>
  <si>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</si>
  <si>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</si>
  <si>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</si>
  <si>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</si>
  <si>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</si>
  <si>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</si>
  <si>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</si>
  <si>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</si>
  <si>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</si>
  <si>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</si>
  <si>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</si>
  <si>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</si>
  <si>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</si>
  <si>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</si>
  <si>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</si>
  <si>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</si>
  <si>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</si>
  <si>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</si>
  <si>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</si>
  <si>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</si>
  <si>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</si>
  <si>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</si>
  <si>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</si>
  <si>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</si>
  <si>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</si>
  <si>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</si>
  <si>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</si>
  <si>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</si>
  <si>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</si>
  <si>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</si>
  <si>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</si>
  <si>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</si>
  <si>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</si>
  <si>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</si>
  <si>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</si>
  <si>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</si>
  <si>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</si>
  <si>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</si>
  <si>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</si>
  <si>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</si>
  <si>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</si>
  <si>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</si>
  <si>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</si>
  <si>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</si>
  <si>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</si>
  <si>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</si>
  <si>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</si>
  <si>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</si>
  <si>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</si>
  <si>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</si>
  <si>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</si>
  <si>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</si>
  <si>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</si>
  <si>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</si>
  <si>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</si>
  <si>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</si>
  <si>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</si>
  <si>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</si>
  <si>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</si>
  <si>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</si>
  <si>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</si>
  <si>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</si>
  <si>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</si>
  <si>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</si>
  <si>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</si>
  <si>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</si>
  <si>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</si>
  <si>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</si>
  <si>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</si>
  <si>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</si>
  <si>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</si>
  <si>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</si>
  <si>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</si>
  <si>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</si>
  <si>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</si>
  <si>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</si>
  <si>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</si>
  <si>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</si>
  <si>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</si>
  <si>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</si>
  <si>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</si>
  <si>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</si>
  <si>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</si>
  <si>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</si>
  <si>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</si>
  <si>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</si>
  <si>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</si>
  <si>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</si>
  <si>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</si>
  <si>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</si>
  <si>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</si>
  <si>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</si>
  <si>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</si>
  <si>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</si>
  <si>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</si>
  <si>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</si>
  <si>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</si>
  <si>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</si>
  <si>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</si>
  <si>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</si>
  <si>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</si>
  <si>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</si>
  <si>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</si>
  <si>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</si>
  <si>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</si>
  <si>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</si>
  <si>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</si>
  <si>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</si>
  <si>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</si>
  <si>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</si>
  <si>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</si>
  <si>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</si>
  <si>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</si>
  <si>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</si>
  <si>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</si>
  <si>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</si>
  <si>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</si>
  <si>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</si>
  <si>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</si>
  <si>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</si>
  <si>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</si>
  <si>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</si>
  <si>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</si>
  <si>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</si>
  <si>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</si>
  <si>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</si>
  <si>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</si>
  <si>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</si>
  <si>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</si>
  <si>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</si>
  <si>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</si>
  <si>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</si>
  <si>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</si>
  <si>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</si>
  <si>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</si>
  <si>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</si>
  <si>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</si>
  <si>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</si>
  <si>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</si>
  <si>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</si>
  <si>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</si>
  <si>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</si>
  <si>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</si>
  <si>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</si>
  <si>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</si>
  <si>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</si>
  <si>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</si>
  <si>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</si>
  <si>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</si>
  <si>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</si>
  <si>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</si>
  <si>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</si>
  <si>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</si>
  <si>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</si>
  <si>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</si>
  <si>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</si>
  <si>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</si>
  <si>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</si>
  <si>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</si>
  <si>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</si>
  <si>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</si>
  <si>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</si>
  <si>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</si>
  <si>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</si>
  <si>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</si>
  <si>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</si>
  <si>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</si>
  <si>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</si>
  <si>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</si>
  <si>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</si>
  <si>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</si>
  <si>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</si>
  <si>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</si>
  <si>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</si>
  <si>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</si>
  <si>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</si>
  <si>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</si>
  <si>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</si>
  <si>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</si>
  <si>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</si>
  <si>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</si>
  <si>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</si>
  <si>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</si>
  <si>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</si>
  <si>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</si>
  <si>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</si>
  <si>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</si>
  <si>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</si>
  <si>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</si>
  <si>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</si>
  <si>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</si>
  <si>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</si>
  <si>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</si>
  <si>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</si>
  <si>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</si>
  <si>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</si>
  <si>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</si>
  <si>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</si>
  <si>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</si>
  <si>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</si>
  <si>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</si>
  <si>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</si>
  <si>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</si>
  <si>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</si>
  <si>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</si>
  <si>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</si>
  <si>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</si>
  <si>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</si>
  <si>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</si>
  <si>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</si>
  <si>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</si>
  <si>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</si>
  <si>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</si>
  <si>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</si>
  <si>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</si>
  <si>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</si>
  <si>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</si>
  <si>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</si>
  <si>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</si>
  <si>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</si>
  <si>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</si>
  <si>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</si>
  <si>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</si>
  <si>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</si>
  <si>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</si>
  <si>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</si>
  <si>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</si>
  <si>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</si>
  <si>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</si>
  <si>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</si>
  <si>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</si>
  <si>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</si>
  <si>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</si>
  <si>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</si>
  <si>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</si>
  <si>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</si>
  <si>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</si>
  <si>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</si>
  <si>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</si>
  <si>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</si>
  <si>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</si>
  <si>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</si>
  <si>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</si>
  <si>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</si>
  <si>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</si>
  <si>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</si>
  <si>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</si>
  <si>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</si>
  <si>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</si>
  <si>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</si>
  <si>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</si>
  <si>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</si>
  <si>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</si>
  <si>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</si>
  <si>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</si>
  <si>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</si>
  <si>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</si>
  <si>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</si>
  <si>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</si>
  <si>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</si>
  <si>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</si>
  <si>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</si>
  <si>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</si>
  <si>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</si>
  <si>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</si>
  <si>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</si>
  <si>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</si>
  <si>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</si>
  <si>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</si>
  <si>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</si>
  <si>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</si>
  <si>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</si>
  <si>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</si>
  <si>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</si>
  <si>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</si>
  <si>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</si>
  <si>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</si>
  <si>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</si>
  <si>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</si>
  <si>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</si>
  <si>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</si>
  <si>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</si>
  <si>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</si>
  <si>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</si>
  <si>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</si>
  <si>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</si>
  <si>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</si>
  <si>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</si>
  <si>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</si>
  <si>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</si>
  <si>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</si>
  <si>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</si>
  <si>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</si>
  <si>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</si>
  <si>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</si>
  <si>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</si>
  <si>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</si>
  <si>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</si>
  <si>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</si>
  <si>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</si>
  <si>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</si>
  <si>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</si>
  <si>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</si>
  <si>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</si>
  <si>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</si>
  <si>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</si>
  <si>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</si>
  <si>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</si>
  <si>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</si>
  <si>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</si>
  <si>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</si>
  <si>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</si>
  <si>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</si>
  <si>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</si>
  <si>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</si>
  <si>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</si>
  <si>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</si>
  <si>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</si>
  <si>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</si>
  <si>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</si>
  <si>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</si>
  <si>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</si>
  <si>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</si>
  <si>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</si>
  <si>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</si>
  <si>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</si>
  <si>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</si>
  <si>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</si>
  <si>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</si>
  <si>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</si>
  <si>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</si>
  <si>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</si>
  <si>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</si>
  <si>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</si>
  <si>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</si>
  <si>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</si>
  <si>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</si>
  <si>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</si>
  <si>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</si>
  <si>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</si>
  <si>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</si>
  <si>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</si>
  <si>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</si>
  <si>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</si>
  <si>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</si>
  <si>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</si>
  <si>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</si>
  <si>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</si>
  <si>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</si>
  <si>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</si>
  <si>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</si>
  <si>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</si>
  <si>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</si>
  <si>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</si>
  <si>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</si>
  <si>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</si>
  <si>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</si>
  <si>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</si>
  <si>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</si>
  <si>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</si>
  <si>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</si>
  <si>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</si>
  <si>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</si>
  <si>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</si>
  <si>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</si>
  <si>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</si>
  <si>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</si>
  <si>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</si>
  <si>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</si>
  <si>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</si>
  <si>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</si>
  <si>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</si>
  <si>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</si>
  <si>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</si>
  <si>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</si>
  <si>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</si>
  <si>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</si>
  <si>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</si>
  <si>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</si>
  <si>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</si>
  <si>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</si>
  <si>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</si>
  <si>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</si>
  <si>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</si>
  <si>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</si>
  <si>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</si>
  <si>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</si>
  <si>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</si>
  <si>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</si>
  <si>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</si>
  <si>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</si>
  <si>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</si>
  <si>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</si>
  <si>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</si>
  <si>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</si>
  <si>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</si>
  <si>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</si>
  <si>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</si>
  <si>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</si>
  <si>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</si>
  <si>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</si>
  <si>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</si>
  <si>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</si>
  <si>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</si>
  <si>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</si>
  <si>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</si>
  <si>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</si>
  <si>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</si>
  <si>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</si>
  <si>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</si>
  <si>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</si>
  <si>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</si>
  <si>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</si>
  <si>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</si>
  <si>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</si>
  <si>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</si>
  <si>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</si>
  <si>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</si>
  <si>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</si>
  <si>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</si>
  <si>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</si>
  <si>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</si>
  <si>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</si>
  <si>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</si>
  <si>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</si>
  <si>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</si>
  <si>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</si>
  <si>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</si>
  <si>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</si>
  <si>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</si>
  <si>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</si>
  <si>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</si>
  <si>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</si>
  <si>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</si>
  <si>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</si>
  <si>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</si>
  <si>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</si>
  <si>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</si>
  <si>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</si>
  <si>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</si>
  <si>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</si>
  <si>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</si>
  <si>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</si>
  <si>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</si>
  <si>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</si>
  <si>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</si>
  <si>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</si>
  <si>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</si>
  <si>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</si>
  <si>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</si>
  <si>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</si>
  <si>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</si>
  <si>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</si>
  <si>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</si>
  <si>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</si>
  <si>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</si>
  <si>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</si>
  <si>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</si>
  <si>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</si>
  <si>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</si>
  <si>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</si>
  <si>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</si>
  <si>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</si>
  <si>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</si>
  <si>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</si>
  <si>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</si>
  <si>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</si>
  <si>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</si>
  <si>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</si>
  <si>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</si>
  <si>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</si>
  <si>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</si>
  <si>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</si>
  <si>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</si>
  <si>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</si>
  <si>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</si>
  <si>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</si>
  <si>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</si>
  <si>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</si>
  <si>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</si>
  <si>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</si>
  <si>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</si>
  <si>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</si>
  <si>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</si>
  <si>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</si>
  <si>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</si>
  <si>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</si>
  <si>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</si>
  <si>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</si>
  <si>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</si>
  <si>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</si>
  <si>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</si>
  <si>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</si>
  <si>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</si>
  <si>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</si>
  <si>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</si>
  <si>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</si>
  <si>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</si>
  <si>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</si>
  <si>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</si>
  <si>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</si>
  <si>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</si>
  <si>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</si>
  <si>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</si>
  <si>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</si>
  <si>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</si>
  <si>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</si>
  <si>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</si>
  <si>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</si>
  <si>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</si>
  <si>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</si>
  <si>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</si>
  <si>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</si>
  <si>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</si>
  <si>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</si>
  <si>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</si>
  <si>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</si>
  <si>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</si>
  <si>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</si>
  <si>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</si>
  <si>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</si>
  <si>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</si>
  <si>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</si>
  <si>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</si>
  <si>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</si>
  <si>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</si>
  <si>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</si>
  <si>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</si>
  <si>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</si>
  <si>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</si>
  <si>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</si>
  <si>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</si>
  <si>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</si>
  <si>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</si>
  <si>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</si>
  <si>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</si>
  <si>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</si>
  <si>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</si>
  <si>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</si>
  <si>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</si>
  <si>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</si>
  <si>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</si>
  <si>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</si>
  <si>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</si>
  <si>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</si>
  <si>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</si>
  <si>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</si>
  <si>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</si>
  <si>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</si>
  <si>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</si>
  <si>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</si>
  <si>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</si>
  <si>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</si>
  <si>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</si>
  <si>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</si>
  <si>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</si>
  <si>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</si>
  <si>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</si>
  <si>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</si>
  <si>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</si>
  <si>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</si>
  <si>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</si>
  <si>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</si>
  <si>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</si>
  <si>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</si>
  <si>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</si>
  <si>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</si>
  <si>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</si>
  <si>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</si>
  <si>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</si>
  <si>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</si>
  <si>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</si>
  <si>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</si>
  <si>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</si>
  <si>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</si>
  <si>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</si>
  <si>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</si>
  <si>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</si>
  <si>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</si>
  <si>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</si>
  <si>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</si>
  <si>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</si>
  <si>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</si>
  <si>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</si>
  <si>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</si>
  <si>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</si>
  <si>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</si>
  <si>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</si>
  <si>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</si>
  <si>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</si>
  <si>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</si>
  <si>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</si>
  <si>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</si>
  <si>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</si>
  <si>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</si>
  <si>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</si>
  <si>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</si>
  <si>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</si>
  <si>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</si>
  <si>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</si>
  <si>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</si>
  <si>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</si>
  <si>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</si>
  <si>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</si>
  <si>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</si>
  <si>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</si>
  <si>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</si>
  <si>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</si>
  <si>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</si>
  <si>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</si>
  <si>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</si>
  <si>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</si>
  <si>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</si>
  <si>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</si>
  <si>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</si>
  <si>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</si>
  <si>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</si>
  <si>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</si>
  <si>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</si>
  <si>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</si>
  <si>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</si>
  <si>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</si>
  <si>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</si>
  <si>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</si>
  <si>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</si>
  <si>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</si>
  <si>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</si>
  <si>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</si>
  <si>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</si>
  <si>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</si>
  <si>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</si>
  <si>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</si>
  <si>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</si>
  <si>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</si>
  <si>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</si>
  <si>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</si>
  <si>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</si>
  <si>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</si>
  <si>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</si>
  <si>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</si>
  <si>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</si>
  <si>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</si>
  <si>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</si>
  <si>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</si>
  <si>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</si>
  <si>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</si>
  <si>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</si>
  <si>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</si>
  <si>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</si>
  <si>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</si>
  <si>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</si>
  <si>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</si>
  <si>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</si>
  <si>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</si>
  <si>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</si>
  <si>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</si>
  <si>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</si>
  <si>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</si>
  <si>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</si>
  <si>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</si>
  <si>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</si>
  <si>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</si>
  <si>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</si>
  <si>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</si>
  <si>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</si>
  <si>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</si>
  <si>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</si>
  <si>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</si>
  <si>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</si>
  <si>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</si>
  <si>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</si>
  <si>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</si>
  <si>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</si>
  <si>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</si>
  <si>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</si>
  <si>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</si>
  <si>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</si>
  <si>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</si>
  <si>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</si>
  <si>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</si>
  <si>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</si>
  <si>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</si>
  <si>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</si>
  <si>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</si>
  <si>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</si>
  <si>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</si>
  <si>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</si>
  <si>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</si>
  <si>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</si>
  <si>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</si>
  <si>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</si>
  <si>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</si>
  <si>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</si>
  <si>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</si>
  <si>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</si>
  <si>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</si>
  <si>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</si>
  <si>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</si>
  <si>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</si>
  <si>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</si>
  <si>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</si>
  <si>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</si>
  <si>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</si>
  <si>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</si>
  <si>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</si>
  <si>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</si>
  <si>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</si>
  <si>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</si>
  <si>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</si>
  <si>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</si>
  <si>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</si>
  <si>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</si>
  <si>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</si>
  <si>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</si>
  <si>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</si>
  <si>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</si>
  <si>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</si>
  <si>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</si>
  <si>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</si>
  <si>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</si>
  <si>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</si>
  <si>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</si>
  <si>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</si>
  <si>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</si>
  <si>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</si>
  <si>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</si>
  <si>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</si>
  <si>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</si>
  <si>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</si>
  <si>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</si>
  <si>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</si>
  <si>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</si>
  <si>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</si>
  <si>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</si>
  <si>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</si>
  <si>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</si>
  <si>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</si>
  <si>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</si>
  <si>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</si>
  <si>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</si>
  <si>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</si>
  <si>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</si>
  <si>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</si>
  <si>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</si>
  <si>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</si>
  <si>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</si>
  <si>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</si>
  <si>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</si>
  <si>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</si>
  <si>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</si>
  <si>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</si>
  <si>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</si>
  <si>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</si>
  <si>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</si>
  <si>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</si>
  <si>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</si>
  <si>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</si>
  <si>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</si>
  <si>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</si>
  <si>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</si>
  <si>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</si>
  <si>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</si>
  <si>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</si>
  <si>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</si>
  <si>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</si>
  <si>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</si>
  <si>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</si>
  <si>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</si>
  <si>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</si>
  <si>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</si>
  <si>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</si>
  <si>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</si>
  <si>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</si>
  <si>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</si>
  <si>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</si>
  <si>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</si>
  <si>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</si>
  <si>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</si>
  <si>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</si>
  <si>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</si>
  <si>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</si>
  <si>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</si>
  <si>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</si>
  <si>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</si>
  <si>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</si>
  <si>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</si>
  <si>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</si>
  <si>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</si>
  <si>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</si>
  <si>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</si>
  <si>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</si>
  <si>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</si>
  <si>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</si>
  <si>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</si>
  <si>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</si>
  <si>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</si>
  <si>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</si>
  <si>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</si>
  <si>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</si>
  <si>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</si>
  <si>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</si>
  <si>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</si>
  <si>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</si>
  <si>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</si>
  <si>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</si>
  <si>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</si>
  <si>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</si>
  <si>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</si>
  <si>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</si>
  <si>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</si>
  <si>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</si>
  <si>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</si>
  <si>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</si>
  <si>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</si>
  <si>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</si>
  <si>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</si>
  <si>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</si>
  <si>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</si>
  <si>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</si>
  <si>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</si>
  <si>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</si>
  <si>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</si>
  <si>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</si>
  <si>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</si>
  <si>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</si>
  <si>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</si>
  <si>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</si>
  <si>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</si>
  <si>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</si>
  <si>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</si>
  <si>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</si>
  <si>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</si>
  <si>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</si>
  <si>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</si>
  <si>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</si>
  <si>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</si>
  <si>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</si>
  <si>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</si>
  <si>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</si>
  <si>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</si>
  <si>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</si>
  <si>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</si>
  <si>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</si>
  <si>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</si>
  <si>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</si>
  <si>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</si>
  <si>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</si>
  <si>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</si>
  <si>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</si>
  <si>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</si>
  <si>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</si>
  <si>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</si>
  <si>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</si>
  <si>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</si>
  <si>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</si>
  <si>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</si>
  <si>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</si>
  <si>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</si>
  <si>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</si>
  <si>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</si>
  <si>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</si>
  <si>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</si>
  <si>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</si>
  <si>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</si>
  <si>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</si>
  <si>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</si>
  <si>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</si>
  <si>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</si>
  <si>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</si>
  <si>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</si>
  <si>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</si>
  <si>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</si>
  <si>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</si>
  <si>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</si>
  <si>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</si>
  <si>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</si>
  <si>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</si>
  <si>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</si>
  <si>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</si>
  <si>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</si>
  <si>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</si>
  <si>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</si>
  <si>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</si>
  <si>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</si>
  <si>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</si>
  <si>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</si>
  <si>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</si>
  <si>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</si>
  <si>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</si>
  <si>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</si>
  <si>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</si>
  <si>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</si>
  <si>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</si>
  <si>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</si>
  <si>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</si>
  <si>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</si>
  <si>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</si>
  <si>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</si>
  <si>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</si>
  <si>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</si>
  <si>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</si>
  <si>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</si>
  <si>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</si>
  <si>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</si>
  <si>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</si>
  <si>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</si>
  <si>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</si>
  <si>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</si>
  <si>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</si>
  <si>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</si>
  <si>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</si>
  <si>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</si>
  <si>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</si>
  <si>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</si>
  <si>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</si>
  <si>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</si>
  <si>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</si>
  <si>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</si>
  <si>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</si>
  <si>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</si>
  <si>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</si>
  <si>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</si>
  <si>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</si>
  <si>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</si>
  <si>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</si>
  <si>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</si>
  <si>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</si>
  <si>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</si>
  <si>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</si>
  <si>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</si>
  <si>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</si>
  <si>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</si>
  <si>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</si>
  <si>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</si>
  <si>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</si>
  <si>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</si>
  <si>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</si>
  <si>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</si>
  <si>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</si>
  <si>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</si>
  <si>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</si>
  <si>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</si>
  <si>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</si>
  <si>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</si>
  <si>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</si>
  <si>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</si>
  <si>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</si>
  <si>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</si>
  <si>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</si>
  <si>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</si>
  <si>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</si>
  <si>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</si>
  <si>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</si>
  <si>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</si>
  <si>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</si>
  <si>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</si>
  <si>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</si>
  <si>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</si>
  <si>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</si>
  <si>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</si>
  <si>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</si>
  <si>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</si>
  <si>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</si>
  <si>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</si>
  <si>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</si>
  <si>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</si>
  <si>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</si>
  <si>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</si>
  <si>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</si>
  <si>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</si>
  <si>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</si>
  <si>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</si>
  <si>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</si>
  <si>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</si>
  <si>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</si>
  <si>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</si>
  <si>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</si>
  <si>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</si>
  <si>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</si>
  <si>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</si>
  <si>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</si>
  <si>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</si>
  <si>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</si>
  <si>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</si>
  <si>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</si>
  <si>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</si>
  <si>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</si>
  <si>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</si>
  <si>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</si>
  <si>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</si>
  <si>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</si>
  <si>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</si>
  <si>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</si>
  <si>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</si>
  <si>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</si>
  <si>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</si>
  <si>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</si>
  <si>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</si>
  <si>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</si>
  <si>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</si>
  <si>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</si>
  <si>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</si>
  <si>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</si>
  <si>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</si>
  <si>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</si>
  <si>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</si>
  <si>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</si>
  <si>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</si>
  <si>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</si>
  <si>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</si>
  <si>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</si>
  <si>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</si>
  <si>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</si>
  <si>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</si>
  <si>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</si>
  <si>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</si>
  <si>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</si>
  <si>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</si>
  <si>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</si>
  <si>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</si>
  <si>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</si>
  <si>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</si>
  <si>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</si>
  <si>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</si>
  <si>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</si>
  <si>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</si>
  <si>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</si>
  <si>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</si>
  <si>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</si>
  <si>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</si>
  <si>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</si>
  <si>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</si>
  <si>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</si>
  <si>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</si>
  <si>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</si>
  <si>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</si>
  <si>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</si>
  <si>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</si>
  <si>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</si>
  <si>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</si>
  <si>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</si>
  <si>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</si>
  <si>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</si>
  <si>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</si>
  <si>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</si>
  <si>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</si>
  <si>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</si>
  <si>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</si>
  <si>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</si>
  <si>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</si>
  <si>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</si>
  <si>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</si>
  <si>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</si>
  <si>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</si>
  <si>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</si>
  <si>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</si>
  <si>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</si>
  <si>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</si>
  <si>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</si>
  <si>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</si>
  <si>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</si>
  <si>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</si>
  <si>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</si>
  <si>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</si>
  <si>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</si>
  <si>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</si>
  <si>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</si>
  <si>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</si>
  <si>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</si>
  <si>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</si>
  <si>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</si>
  <si>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</si>
  <si>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</si>
  <si>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</si>
  <si>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</si>
  <si>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</si>
  <si>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</si>
  <si>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</si>
  <si>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</si>
  <si>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</si>
  <si>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</si>
  <si>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</si>
  <si>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</si>
  <si>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</si>
  <si>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</si>
  <si>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</si>
  <si>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</si>
  <si>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</si>
  <si>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</si>
  <si>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</si>
  <si>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</si>
  <si>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</si>
  <si>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</si>
  <si>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</si>
  <si>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</si>
  <si>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</si>
  <si>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</si>
  <si>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</si>
  <si>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</si>
  <si>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</si>
  <si>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</si>
  <si>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</si>
  <si>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</si>
  <si>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</si>
  <si>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</si>
  <si>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</si>
  <si>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</si>
  <si>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</si>
  <si>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</si>
  <si>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</si>
  <si>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</si>
  <si>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</si>
  <si>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</si>
  <si>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</si>
  <si>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</si>
  <si>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</si>
  <si>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</si>
  <si>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</si>
  <si>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</si>
  <si>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</si>
  <si>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</si>
  <si>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</si>
  <si>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</si>
  <si>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</si>
  <si>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</si>
  <si>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</si>
  <si>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</si>
  <si>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</si>
  <si>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</si>
  <si>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</si>
  <si>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</si>
  <si>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</si>
  <si>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</si>
  <si>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</si>
  <si>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</si>
  <si>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</si>
  <si>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</si>
  <si>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</si>
  <si>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</si>
  <si>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</si>
  <si>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</si>
  <si>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</si>
  <si>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</si>
  <si>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</si>
  <si>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</si>
  <si>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</si>
  <si>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</si>
  <si>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</si>
  <si>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</si>
  <si>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</si>
  <si>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</si>
  <si>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</si>
  <si>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</si>
  <si>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</si>
  <si>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</si>
  <si>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</si>
  <si>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</si>
  <si>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</si>
  <si>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</si>
  <si>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</si>
  <si>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</si>
  <si>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</si>
  <si>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</si>
  <si>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</si>
  <si>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</si>
  <si>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</si>
  <si>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</si>
  <si>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</si>
  <si>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</si>
  <si>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</si>
  <si>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</si>
  <si>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</si>
  <si>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</si>
  <si>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</si>
  <si>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</si>
  <si>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</si>
  <si>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</si>
  <si>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</si>
  <si>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</si>
  <si>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</si>
  <si>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</si>
  <si>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</si>
  <si>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</si>
  <si>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</si>
  <si>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</si>
  <si>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</si>
  <si>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</si>
  <si>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</si>
  <si>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</si>
  <si>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</si>
  <si>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</si>
  <si>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</si>
  <si>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</si>
  <si>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</si>
  <si>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</si>
  <si>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</si>
  <si>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</si>
  <si>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</si>
  <si>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</si>
  <si>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</si>
  <si>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</si>
  <si>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</si>
  <si>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</si>
  <si>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</si>
  <si>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</si>
  <si>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</si>
  <si>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</si>
  <si>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</si>
  <si>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</si>
  <si>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</si>
  <si>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</si>
  <si>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</si>
  <si>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</si>
  <si>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</si>
  <si>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</si>
  <si>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</si>
  <si>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</si>
  <si>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</si>
  <si>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</si>
  <si>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</si>
  <si>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</si>
  <si>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</si>
  <si>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</si>
  <si>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</si>
  <si>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</si>
  <si>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</si>
  <si>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</si>
  <si>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</si>
  <si>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</si>
  <si>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</si>
  <si>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</si>
  <si>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</si>
  <si>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</si>
  <si>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</si>
  <si>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</si>
  <si>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</si>
  <si>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</si>
  <si>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</si>
  <si>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</si>
  <si>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</si>
  <si>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</si>
  <si>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</si>
  <si>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</si>
  <si>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</si>
  <si>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</si>
  <si>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</si>
  <si>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</si>
  <si>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</si>
  <si>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</si>
  <si>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</si>
  <si>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</si>
  <si>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</si>
  <si>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</si>
  <si>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</si>
  <si>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</si>
  <si>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</si>
  <si>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</si>
  <si>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</si>
  <si>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</si>
  <si>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</si>
  <si>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</si>
  <si>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</si>
  <si>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</si>
  <si>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</si>
  <si>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</si>
  <si>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</si>
  <si>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</si>
  <si>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</si>
  <si>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</si>
  <si>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</si>
  <si>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</si>
  <si>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</si>
  <si>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</si>
  <si>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</si>
  <si>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</si>
  <si>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</si>
  <si>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</si>
  <si>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</si>
  <si>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</si>
  <si>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</si>
  <si>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</si>
  <si>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</si>
  <si>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</si>
  <si>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</si>
  <si>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</si>
  <si>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</si>
  <si>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</si>
  <si>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</si>
  <si>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</si>
  <si>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</si>
  <si>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</si>
  <si>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</si>
  <si>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</si>
  <si>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</si>
  <si>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</si>
  <si>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</si>
  <si>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</si>
  <si>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</si>
  <si>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</si>
  <si>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</si>
  <si>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</si>
  <si>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</si>
  <si>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</si>
  <si>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</si>
  <si>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</si>
  <si>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</si>
  <si>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</si>
  <si>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</si>
  <si>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</si>
  <si>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</si>
  <si>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</si>
  <si>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</si>
  <si>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</si>
  <si>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</si>
  <si>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</si>
  <si>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</si>
  <si>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</si>
  <si>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</si>
  <si>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</si>
  <si>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</si>
  <si>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</si>
  <si>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</si>
  <si>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</si>
  <si>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</si>
  <si>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</si>
  <si>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</si>
  <si>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</si>
  <si>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</si>
  <si>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</si>
  <si>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</si>
  <si>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</si>
  <si>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</si>
  <si>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</si>
  <si>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</si>
  <si>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</si>
  <si>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</si>
  <si>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</si>
  <si>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</si>
  <si>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</si>
  <si>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</si>
  <si>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</si>
  <si>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</si>
  <si>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</si>
  <si>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</si>
  <si>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</si>
  <si>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</si>
  <si>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</si>
  <si>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</si>
  <si>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</si>
  <si>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</si>
  <si>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</si>
  <si>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</si>
  <si>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</si>
  <si>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</si>
  <si>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</si>
  <si>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</si>
  <si>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</si>
  <si>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</si>
  <si>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</si>
  <si>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</si>
  <si>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</si>
  <si>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</si>
  <si>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</si>
  <si>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</si>
  <si>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</si>
  <si>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</si>
  <si>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</si>
  <si>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</si>
  <si>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</si>
  <si>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</si>
  <si>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</si>
  <si>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</si>
  <si>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</si>
  <si>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</si>
  <si>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</si>
  <si>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</si>
  <si>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</si>
  <si>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</si>
  <si>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</si>
  <si>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</si>
  <si>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</si>
  <si>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</si>
  <si>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</si>
  <si>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</si>
  <si>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</si>
  <si>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</si>
  <si>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</si>
  <si>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</si>
  <si>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</si>
  <si>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</si>
  <si>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</si>
  <si>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</si>
  <si>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</si>
  <si>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</si>
  <si>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</si>
  <si>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</si>
  <si>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</si>
  <si>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</si>
  <si>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</si>
  <si>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</si>
  <si>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</si>
  <si>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</si>
  <si>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</si>
  <si>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</si>
  <si>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</si>
  <si>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</si>
  <si>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</si>
  <si>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</si>
  <si>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</si>
  <si>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</si>
  <si>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</si>
  <si>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</si>
  <si>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</si>
  <si>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</si>
  <si>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</si>
  <si>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</si>
  <si>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</si>
  <si>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</si>
  <si>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</si>
  <si>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</si>
  <si>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</si>
  <si>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</si>
  <si>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</si>
  <si>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</si>
  <si>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</si>
  <si>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</si>
  <si>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</si>
  <si>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</si>
  <si>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</si>
  <si>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</si>
  <si>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</si>
  <si>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</si>
  <si>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</si>
  <si>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</si>
  <si>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</si>
  <si>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</si>
  <si>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</si>
  <si>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</si>
  <si>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</si>
  <si>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</si>
  <si>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</si>
  <si>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</si>
  <si>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</si>
  <si>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</si>
  <si>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</si>
  <si>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</si>
  <si>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</si>
  <si>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</si>
  <si>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</si>
  <si>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</si>
  <si>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</si>
  <si>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</si>
  <si>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</si>
  <si>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</si>
  <si>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</si>
  <si>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</si>
  <si>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</si>
  <si>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</si>
  <si>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</si>
  <si>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</si>
  <si>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</si>
  <si>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</si>
  <si>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</si>
  <si>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</si>
  <si>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</si>
  <si>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</si>
  <si>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</si>
  <si>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</si>
  <si>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</si>
  <si>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</si>
  <si>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</si>
  <si>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</si>
  <si>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</si>
  <si>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</si>
  <si>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</si>
  <si>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</si>
  <si>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</si>
  <si>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</si>
  <si>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</si>
  <si>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</si>
  <si>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</si>
  <si>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</si>
  <si>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</si>
  <si>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</si>
  <si>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</si>
  <si>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</si>
  <si>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</si>
  <si>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</si>
  <si>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</si>
  <si>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</si>
  <si>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</si>
  <si>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</si>
  <si>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</si>
  <si>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</si>
  <si>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</si>
  <si>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</si>
  <si>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</si>
  <si>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</si>
  <si>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</si>
  <si>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</si>
  <si>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</si>
  <si>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</si>
  <si>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</si>
  <si>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</si>
  <si>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</si>
  <si>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</si>
  <si>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</si>
  <si>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</si>
  <si>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</si>
  <si>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</si>
  <si>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</si>
  <si>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</si>
  <si>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</si>
  <si>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</si>
  <si>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</si>
  <si>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</si>
  <si>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</si>
  <si>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</si>
  <si>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</si>
  <si>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</si>
  <si>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</si>
  <si>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</si>
  <si>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</si>
  <si>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</si>
  <si>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</si>
  <si>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</si>
  <si>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</si>
  <si>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</si>
  <si>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</si>
  <si>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</si>
  <si>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</si>
  <si>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</si>
  <si>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</si>
  <si>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</si>
  <si>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</si>
  <si>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</si>
  <si>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</si>
  <si>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</si>
  <si>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</si>
  <si>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</si>
  <si>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</si>
  <si>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</si>
  <si>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</si>
  <si>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</si>
  <si>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</si>
  <si>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</si>
  <si>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</si>
  <si>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</si>
  <si>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</si>
  <si>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</si>
  <si>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</si>
  <si>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</si>
  <si>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</si>
  <si>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</si>
  <si>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</si>
  <si>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</si>
  <si>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</si>
  <si>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</si>
  <si>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</si>
  <si>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</si>
  <si>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</si>
  <si>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</si>
  <si>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</si>
  <si>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</si>
  <si>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</si>
  <si>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</si>
  <si>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</si>
  <si>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</si>
  <si>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</si>
  <si>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</si>
  <si>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</si>
  <si>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</si>
  <si>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</si>
  <si>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</si>
  <si>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</si>
  <si>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</si>
  <si>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</si>
  <si>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</si>
  <si>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</si>
  <si>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</si>
  <si>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</si>
  <si>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</si>
  <si>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</si>
  <si>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</si>
  <si>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</si>
  <si>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</si>
  <si>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</si>
  <si>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</si>
  <si>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</si>
  <si>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</si>
  <si>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</si>
  <si>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</si>
  <si>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</si>
  <si>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</si>
  <si>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</si>
  <si>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</si>
  <si>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</si>
  <si>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</si>
  <si>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</si>
  <si>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</si>
  <si>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</si>
  <si>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</si>
  <si>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</si>
  <si>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</si>
  <si>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</si>
  <si>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</si>
  <si>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</si>
  <si>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</si>
  <si>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</si>
  <si>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</si>
  <si>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</si>
  <si>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</si>
  <si>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</si>
  <si>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</si>
  <si>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</si>
  <si>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</si>
  <si>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</si>
  <si>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</si>
  <si>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</si>
  <si>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</si>
  <si>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</si>
  <si>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</si>
  <si>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</si>
  <si>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</si>
  <si>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</si>
  <si>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</si>
  <si>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</si>
  <si>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</si>
  <si>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</si>
  <si>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</si>
  <si>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</si>
  <si>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</si>
  <si>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</si>
  <si>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</si>
  <si>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</si>
  <si>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</si>
  <si>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</si>
  <si>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</si>
  <si>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</si>
  <si>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</si>
  <si>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</si>
  <si>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</si>
  <si>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</si>
  <si>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</si>
  <si>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</si>
  <si>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</si>
  <si>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</si>
  <si>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</si>
  <si>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</si>
  <si>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</si>
  <si>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</si>
  <si>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</si>
  <si>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</si>
  <si>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</si>
  <si>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</si>
  <si>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</si>
  <si>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</si>
  <si>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</si>
  <si>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</si>
  <si>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</si>
  <si>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</si>
  <si>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</si>
  <si>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</si>
  <si>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</si>
  <si>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</si>
  <si>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</si>
  <si>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</si>
  <si>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</si>
  <si>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</si>
  <si>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</si>
  <si>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</si>
  <si>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</si>
  <si>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</si>
  <si>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</si>
  <si>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</si>
  <si>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</si>
  <si>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</si>
  <si>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</si>
  <si>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</si>
  <si>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</si>
  <si>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</si>
  <si>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</si>
  <si>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</si>
  <si>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</si>
  <si>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</si>
  <si>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</si>
  <si>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</si>
  <si>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</si>
  <si>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</si>
  <si>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</si>
  <si>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</si>
  <si>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</si>
  <si>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</si>
  <si>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</si>
  <si>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</si>
  <si>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</si>
  <si>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</si>
  <si>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</si>
  <si>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</si>
  <si>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</si>
  <si>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</si>
  <si>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</si>
  <si>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</si>
  <si>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</si>
  <si>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</si>
  <si>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</si>
  <si>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</si>
  <si>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</si>
  <si>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</si>
  <si>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</si>
  <si>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</si>
  <si>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</si>
  <si>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</si>
  <si>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</si>
  <si>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</si>
  <si>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</si>
  <si>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</si>
  <si>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</si>
  <si>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</si>
  <si>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</si>
  <si>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</si>
  <si>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</si>
  <si>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</si>
  <si>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</si>
  <si>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</si>
  <si>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</si>
  <si>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</si>
  <si>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</si>
  <si>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</si>
  <si>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</si>
  <si>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</si>
  <si>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</si>
  <si>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</si>
  <si>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</si>
  <si>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</si>
  <si>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</si>
  <si>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</si>
  <si>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</si>
  <si>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</si>
  <si>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</si>
  <si>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</si>
  <si>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</si>
  <si>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</si>
  <si>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</si>
  <si>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</si>
  <si>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</si>
  <si>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</si>
  <si>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</si>
  <si>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</si>
  <si>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</si>
  <si>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</si>
  <si>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</si>
  <si>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</si>
  <si>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</si>
  <si>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</si>
  <si>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</si>
  <si>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</si>
  <si>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</si>
  <si>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</si>
  <si>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</si>
  <si>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</si>
  <si>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</si>
  <si>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</si>
  <si>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</si>
  <si>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</si>
  <si>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</si>
  <si>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</si>
  <si>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</si>
  <si>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</si>
  <si>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</si>
  <si>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</si>
  <si>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</si>
  <si>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</si>
  <si>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</si>
  <si>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</si>
  <si>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</si>
  <si>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</si>
  <si>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</si>
  <si>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</si>
  <si>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</si>
  <si>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</si>
  <si>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</si>
  <si>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</si>
  <si>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</si>
  <si>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</si>
  <si>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</si>
  <si>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</si>
  <si>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</si>
  <si>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</si>
  <si>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</si>
  <si>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</si>
  <si>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</si>
  <si>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</si>
  <si>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</si>
  <si>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</si>
  <si>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</si>
  <si>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</si>
  <si>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</si>
  <si>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</si>
  <si>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</si>
  <si>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</si>
  <si>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</si>
  <si>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</si>
  <si>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</si>
  <si>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</si>
  <si>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</si>
  <si>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</si>
  <si>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</si>
  <si>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</si>
  <si>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</si>
  <si>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</si>
  <si>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</si>
  <si>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</si>
  <si>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</si>
  <si>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</si>
  <si>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</si>
  <si>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</si>
  <si>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</si>
  <si>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</si>
  <si>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</si>
  <si>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</si>
  <si>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</si>
  <si>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</si>
  <si>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</si>
  <si>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</si>
  <si>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</si>
  <si>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</si>
  <si>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</si>
  <si>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</si>
  <si>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</si>
  <si>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</si>
  <si>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</si>
  <si>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</si>
  <si>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</si>
  <si>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</si>
  <si>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</si>
  <si>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</si>
  <si>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</si>
  <si>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</si>
  <si>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</si>
  <si>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</si>
  <si>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</si>
  <si>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</si>
  <si>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</si>
  <si>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</si>
  <si>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</si>
  <si>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</si>
  <si>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</si>
  <si>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</si>
  <si>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</si>
  <si>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</si>
  <si>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</si>
  <si>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</si>
  <si>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</si>
  <si>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</si>
  <si>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</si>
  <si>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</si>
  <si>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</si>
  <si>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</si>
  <si>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</si>
  <si>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</si>
  <si>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</si>
  <si>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</si>
  <si>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</si>
  <si>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</si>
  <si>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</si>
  <si>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</si>
  <si>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</si>
  <si>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</si>
  <si>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</si>
  <si>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</si>
  <si>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</si>
  <si>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</si>
  <si>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</si>
  <si>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</si>
  <si>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</si>
  <si>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</si>
  <si>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</si>
  <si>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</si>
  <si>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</si>
  <si>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</si>
  <si>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</si>
  <si>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</si>
  <si>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</si>
  <si>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</si>
  <si>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</si>
  <si>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</si>
  <si>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</si>
  <si>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</si>
  <si>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</si>
  <si>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</si>
  <si>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</si>
  <si>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</si>
  <si>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</si>
  <si>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</si>
  <si>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</si>
  <si>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</si>
  <si>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</si>
  <si>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</si>
  <si>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</si>
  <si>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</si>
  <si>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</si>
  <si>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</si>
  <si>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</si>
  <si>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</si>
  <si>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</si>
  <si>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</si>
  <si>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</si>
  <si>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</si>
  <si>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</si>
  <si>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</si>
  <si>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</si>
  <si>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</si>
  <si>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</si>
  <si>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</si>
  <si>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</si>
  <si>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</si>
  <si>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</si>
  <si>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</si>
  <si>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</si>
  <si>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</si>
  <si>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</si>
  <si>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</si>
  <si>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</si>
  <si>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</si>
  <si>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</si>
  <si>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</si>
  <si>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</si>
  <si>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</si>
  <si>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</si>
  <si>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</si>
  <si>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</si>
  <si>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</si>
  <si>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</si>
  <si>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</si>
  <si>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</si>
  <si>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</si>
  <si>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</si>
  <si>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</si>
  <si>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</si>
  <si>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</si>
  <si>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</si>
  <si>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</si>
  <si>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</si>
  <si>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</si>
  <si>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</si>
  <si>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</si>
  <si>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</si>
  <si>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</si>
  <si>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</si>
  <si>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</si>
  <si>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</si>
  <si>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</si>
  <si>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</si>
  <si>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</si>
  <si>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</si>
  <si>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</si>
  <si>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</si>
  <si>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</si>
  <si>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</si>
  <si>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</si>
  <si>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</si>
  <si>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</si>
  <si>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</si>
  <si>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</si>
  <si>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</si>
  <si>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</si>
  <si>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</si>
  <si>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</si>
  <si>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</si>
  <si>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</si>
  <si>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</si>
  <si>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</si>
  <si>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</si>
  <si>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</si>
  <si>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</si>
  <si>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</si>
  <si>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</si>
  <si>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</si>
  <si>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</si>
  <si>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</si>
  <si>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</si>
  <si>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</si>
  <si>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</si>
  <si>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</si>
  <si>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</si>
  <si>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</si>
  <si>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</si>
  <si>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</si>
  <si>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</si>
  <si>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</si>
  <si>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</si>
  <si>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</si>
  <si>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</si>
  <si>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</si>
  <si>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</si>
  <si>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</si>
  <si>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</si>
  <si>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</si>
  <si>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</si>
  <si>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</si>
  <si>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</si>
  <si>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</si>
  <si>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</si>
  <si>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</si>
  <si>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</si>
  <si>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</si>
  <si>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</si>
  <si>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</si>
  <si>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</si>
  <si>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</si>
  <si>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</si>
  <si>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</si>
  <si>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</si>
  <si>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</si>
  <si>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</si>
  <si>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</si>
  <si>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</si>
  <si>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</si>
  <si>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</si>
  <si>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</si>
  <si>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</si>
  <si>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</si>
  <si>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</si>
  <si>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</si>
  <si>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</si>
  <si>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</si>
  <si>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</si>
  <si>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</si>
  <si>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</si>
  <si>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</si>
  <si>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</si>
  <si>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</si>
  <si>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</si>
  <si>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</si>
  <si>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</si>
  <si>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</si>
  <si>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</si>
  <si>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</si>
  <si>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</si>
  <si>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</si>
  <si>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</si>
  <si>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</si>
  <si>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</si>
  <si>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</si>
  <si>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</si>
  <si>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</si>
  <si>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</si>
  <si>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</si>
  <si>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</si>
  <si>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</si>
  <si>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</si>
  <si>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</si>
  <si>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</si>
  <si>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</si>
  <si>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</si>
  <si>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</si>
  <si>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</si>
  <si>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</si>
  <si>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</si>
  <si>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</si>
  <si>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</si>
  <si>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</si>
  <si>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</si>
  <si>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</si>
  <si>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</si>
  <si>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</si>
  <si>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</si>
  <si>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</si>
  <si>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</si>
  <si>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</si>
  <si>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</si>
  <si>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</si>
  <si>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</si>
  <si>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</si>
  <si>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</si>
  <si>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</si>
  <si>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</si>
  <si>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</si>
  <si>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</si>
  <si>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</si>
  <si>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</si>
  <si>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</si>
  <si>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</si>
  <si>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</si>
  <si>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</si>
  <si>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</si>
  <si>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</si>
  <si>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</si>
  <si>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</si>
  <si>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</si>
  <si>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</si>
  <si>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</si>
  <si>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</si>
  <si>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</si>
  <si>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</si>
  <si>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</si>
  <si>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</si>
  <si>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</si>
  <si>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</si>
  <si>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</si>
  <si>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</si>
  <si>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</si>
  <si>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</si>
  <si>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</si>
  <si>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</si>
  <si>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</si>
  <si>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</si>
  <si>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</si>
  <si>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</si>
  <si>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</si>
  <si>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</si>
  <si>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</si>
  <si>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</si>
  <si>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</si>
  <si>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</si>
  <si>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</si>
  <si>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</si>
  <si>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</si>
  <si>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</si>
  <si>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</si>
  <si>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</si>
  <si>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</si>
  <si>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</si>
  <si>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</si>
  <si>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</si>
  <si>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</si>
  <si>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</si>
  <si>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</si>
  <si>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</si>
  <si>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</si>
  <si>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</si>
  <si>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</si>
  <si>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</si>
  <si>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</si>
  <si>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</si>
  <si>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</si>
  <si>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</si>
  <si>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</si>
  <si>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</si>
  <si>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</si>
  <si>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</si>
  <si>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</si>
  <si>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</si>
  <si>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</si>
  <si>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</si>
  <si>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</si>
  <si>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</si>
  <si>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</si>
  <si>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</si>
  <si>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</si>
  <si>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</si>
  <si>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</si>
  <si>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</si>
  <si>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</si>
  <si>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</si>
  <si>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</si>
  <si>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</si>
  <si>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</si>
  <si>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</si>
  <si>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</si>
  <si>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</si>
  <si>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</si>
  <si>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</si>
  <si>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</si>
  <si>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</si>
  <si>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</si>
  <si>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</si>
  <si>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</si>
  <si>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</si>
  <si>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</si>
  <si>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</si>
  <si>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</si>
  <si>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</si>
  <si>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</si>
  <si>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</si>
  <si>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</si>
  <si>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</si>
  <si>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</si>
  <si>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</si>
  <si>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</si>
  <si>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</si>
  <si>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</si>
  <si>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</si>
  <si>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</si>
  <si>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</si>
  <si>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</si>
  <si>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</si>
  <si>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</si>
  <si>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</si>
  <si>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</si>
  <si>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</si>
  <si>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</si>
  <si>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</si>
  <si>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</si>
  <si>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</si>
  <si>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</si>
  <si>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</si>
  <si>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</si>
  <si>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</si>
  <si>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</si>
  <si>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</si>
  <si>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</si>
  <si>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</si>
  <si>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</si>
  <si>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</si>
  <si>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</si>
  <si>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</si>
  <si>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</si>
  <si>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</si>
  <si>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</si>
  <si>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</si>
  <si>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</si>
  <si>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</si>
  <si>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</si>
  <si>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</si>
  <si>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</si>
  <si>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</si>
  <si>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</si>
  <si>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</si>
  <si>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</si>
  <si>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</si>
  <si>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</si>
  <si>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</si>
  <si>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</si>
  <si>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</si>
  <si>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</si>
  <si>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</si>
  <si>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</si>
  <si>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</si>
  <si>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</si>
  <si>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</si>
  <si>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</si>
  <si>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</si>
  <si>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</si>
  <si>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</si>
  <si>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</si>
  <si>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</si>
  <si>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</si>
  <si>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</si>
  <si>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</si>
  <si>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</si>
  <si>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</si>
  <si>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</si>
  <si>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</si>
  <si>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</si>
  <si>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</si>
  <si>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</si>
  <si>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</si>
  <si>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</si>
  <si>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</si>
  <si>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</si>
  <si>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</si>
  <si>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</si>
  <si>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</si>
  <si>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</si>
  <si>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</si>
  <si>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</si>
  <si>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</si>
  <si>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</si>
  <si>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</si>
  <si>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</si>
  <si>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</si>
  <si>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</si>
  <si>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</si>
  <si>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</si>
  <si>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</si>
  <si>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</si>
  <si>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</si>
  <si>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</si>
  <si>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</si>
  <si>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</si>
  <si>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</si>
  <si>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</si>
  <si>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</si>
  <si>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</si>
  <si>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</si>
  <si>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</si>
  <si>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</si>
  <si>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</si>
  <si>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</si>
  <si>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</si>
  <si>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</si>
  <si>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</si>
  <si>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</si>
  <si>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</si>
  <si>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</si>
  <si>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</si>
  <si>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</si>
  <si>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</si>
  <si>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</si>
  <si>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</si>
  <si>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</si>
  <si>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</si>
  <si>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</si>
  <si>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</si>
  <si>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</si>
  <si>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</si>
  <si>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</si>
  <si>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</si>
  <si>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</si>
  <si>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</si>
  <si>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</si>
  <si>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</si>
  <si>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</si>
  <si>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</si>
  <si>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</si>
  <si>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</si>
  <si>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</si>
  <si>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</si>
  <si>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</si>
  <si>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</si>
  <si>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</si>
  <si>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</si>
  <si>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</si>
  <si>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</si>
  <si>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</si>
  <si>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</si>
  <si>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</si>
  <si>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</si>
  <si>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</si>
  <si>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</si>
  <si>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</si>
  <si>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</si>
  <si>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</si>
  <si>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</si>
  <si>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</si>
  <si>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</si>
  <si>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</si>
  <si>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</si>
  <si>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</si>
  <si>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</si>
  <si>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</si>
  <si>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</si>
  <si>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</si>
  <si>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</si>
  <si>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</si>
  <si>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</si>
  <si>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</si>
  <si>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</si>
  <si>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</si>
  <si>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</si>
  <si>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</si>
  <si>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</si>
  <si>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</si>
  <si>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</si>
  <si>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</si>
  <si>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</si>
  <si>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</si>
  <si>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</si>
  <si>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</si>
  <si>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</si>
  <si>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</si>
  <si>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</si>
  <si>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</si>
  <si>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</si>
  <si>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</si>
  <si>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</si>
  <si>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</si>
  <si>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</si>
  <si>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</si>
  <si>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</si>
  <si>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</si>
  <si>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</si>
  <si>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</si>
  <si>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</si>
  <si>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</si>
  <si>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</si>
  <si>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</si>
  <si>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</si>
  <si>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</si>
  <si>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</si>
  <si>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</si>
  <si>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</si>
  <si>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</si>
  <si>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</si>
  <si>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</si>
  <si>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</si>
  <si>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</si>
  <si>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</si>
  <si>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</si>
  <si>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</si>
  <si>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</si>
  <si>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</si>
  <si>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</si>
  <si>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</si>
  <si>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</si>
  <si>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</si>
  <si>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</si>
  <si>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</si>
  <si>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</si>
  <si>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</si>
  <si>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</si>
  <si>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</si>
  <si>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</si>
  <si>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</si>
  <si>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</si>
  <si>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</si>
  <si>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</si>
  <si>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</si>
  <si>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</si>
  <si>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</si>
  <si>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</si>
  <si>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</si>
  <si>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</si>
  <si>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</si>
  <si>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</si>
  <si>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</si>
  <si>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</si>
  <si>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</si>
  <si>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</si>
  <si>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</si>
  <si>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</si>
  <si>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</si>
  <si>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</si>
  <si>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</si>
  <si>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</si>
  <si>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</si>
  <si>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</si>
  <si>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</si>
  <si>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</si>
  <si>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</si>
  <si>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</si>
  <si>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</si>
  <si>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</si>
  <si>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</si>
  <si>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</si>
  <si>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</si>
  <si>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</si>
  <si>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</si>
  <si>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</si>
  <si>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</si>
  <si>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</si>
  <si>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</si>
  <si>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</si>
  <si>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</si>
  <si>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</si>
  <si>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</si>
  <si>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</si>
  <si>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</si>
  <si>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</si>
  <si>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</si>
  <si>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</si>
  <si>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</si>
  <si>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</si>
  <si>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</si>
  <si>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</si>
  <si>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</si>
  <si>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</si>
  <si>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</si>
  <si>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</si>
  <si>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</si>
  <si>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</si>
  <si>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</si>
  <si>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</si>
  <si>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</si>
  <si>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</si>
  <si>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</si>
  <si>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</si>
  <si>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</si>
  <si>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</si>
  <si>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</si>
  <si>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</si>
  <si>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</si>
  <si>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</si>
  <si>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</si>
  <si>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</si>
  <si>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</si>
  <si>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</si>
  <si>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</si>
  <si>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</si>
  <si>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</si>
  <si>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</si>
  <si>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</si>
  <si>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</si>
  <si>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</si>
  <si>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</si>
  <si>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</si>
  <si>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</si>
  <si>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</si>
  <si>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</si>
  <si>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</si>
  <si>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</si>
  <si>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</si>
  <si>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</si>
  <si>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</si>
  <si>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</si>
  <si>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</si>
  <si>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</si>
  <si>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</si>
  <si>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</si>
  <si>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</si>
  <si>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</si>
  <si>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</si>
  <si>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</si>
  <si>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</si>
  <si>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</si>
  <si>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</si>
  <si>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</si>
  <si>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</si>
  <si>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</si>
  <si>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</si>
  <si>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</si>
  <si>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</si>
  <si>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</si>
  <si>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</si>
  <si>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</si>
  <si>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</si>
  <si>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</si>
  <si>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</si>
  <si>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</si>
  <si>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</si>
  <si>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</si>
  <si>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</si>
  <si>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</si>
  <si>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</si>
  <si>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</si>
  <si>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</si>
  <si>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</si>
  <si>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</si>
  <si>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</si>
  <si>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</si>
  <si>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</si>
  <si>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</si>
  <si>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</si>
  <si>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</si>
  <si>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</si>
  <si>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</si>
  <si>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</si>
  <si>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</si>
  <si>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</si>
  <si>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</si>
  <si>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</si>
  <si>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</si>
  <si>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</si>
  <si>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</si>
  <si>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</si>
  <si>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</si>
  <si>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</si>
  <si>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</si>
  <si>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</si>
  <si>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</si>
  <si>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</si>
  <si>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</si>
  <si>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</si>
  <si>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</si>
  <si>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</si>
  <si>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</si>
  <si>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</si>
  <si>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</si>
  <si>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</si>
  <si>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</si>
  <si>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</si>
  <si>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</si>
  <si>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</si>
  <si>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</si>
  <si>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</si>
  <si>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</si>
  <si>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</si>
  <si>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</si>
  <si>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</si>
  <si>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</si>
  <si>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</si>
  <si>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</si>
  <si>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</si>
  <si>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</si>
  <si>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</si>
  <si>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</si>
  <si>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</si>
  <si>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</si>
  <si>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</si>
  <si>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</si>
  <si>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</si>
  <si>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</si>
  <si>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</si>
  <si>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</si>
  <si>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</si>
  <si>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</si>
  <si>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</si>
  <si>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</si>
  <si>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</si>
  <si>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</si>
  <si>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</si>
  <si>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</si>
  <si>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</si>
  <si>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</si>
  <si>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</si>
  <si>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</si>
  <si>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</si>
  <si>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</si>
  <si>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</si>
  <si>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</si>
  <si>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</si>
  <si>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</si>
  <si>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</si>
  <si>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</si>
  <si>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</si>
  <si>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</si>
  <si>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</si>
  <si>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</si>
  <si>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</si>
  <si>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</si>
  <si>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</si>
  <si>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</si>
  <si>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</si>
  <si>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</si>
  <si>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</si>
  <si>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</si>
  <si>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</si>
  <si>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</si>
  <si>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</si>
  <si>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</si>
  <si>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</si>
  <si>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</si>
  <si>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</si>
  <si>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</si>
  <si>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</si>
  <si>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</si>
  <si>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</si>
  <si>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</si>
  <si>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</si>
  <si>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</si>
  <si>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</si>
  <si>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</si>
  <si>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</si>
  <si>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</si>
  <si>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</si>
  <si>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</si>
  <si>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</si>
  <si>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</si>
  <si>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</si>
  <si>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</si>
  <si>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</si>
  <si>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</si>
  <si>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</si>
  <si>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</si>
  <si>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</si>
  <si>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</si>
  <si>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</si>
  <si>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</si>
  <si>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</si>
  <si>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</si>
  <si>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</si>
  <si>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</si>
  <si>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</si>
  <si>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</si>
  <si>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</si>
  <si>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</si>
  <si>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</si>
  <si>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</si>
  <si>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</si>
  <si>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</si>
  <si>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</si>
  <si>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</si>
  <si>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</si>
  <si>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</si>
  <si>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</si>
  <si>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</si>
  <si>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</si>
  <si>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</si>
  <si>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</si>
  <si>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</si>
  <si>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</si>
  <si>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</si>
  <si>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</si>
  <si>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</si>
  <si>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</si>
  <si>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</si>
  <si>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</si>
  <si>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</si>
  <si>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</si>
  <si>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</si>
  <si>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</si>
  <si>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</si>
  <si>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</si>
  <si>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</si>
  <si>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</si>
  <si>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</si>
  <si>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</si>
  <si>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</si>
  <si>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</si>
  <si>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</si>
  <si>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</si>
  <si>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</si>
  <si>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</si>
  <si>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</si>
  <si>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</si>
  <si>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</si>
  <si>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</si>
  <si>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</si>
  <si>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</si>
  <si>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</si>
  <si>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</si>
  <si>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</si>
  <si>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</si>
  <si>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</si>
  <si>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</si>
  <si>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</si>
  <si>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</si>
  <si>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</si>
  <si>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</si>
  <si>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</si>
  <si>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</si>
  <si>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</si>
  <si>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</si>
  <si>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</si>
  <si>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</si>
  <si>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</si>
  <si>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</si>
  <si>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</si>
  <si>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</si>
  <si>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</si>
  <si>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</si>
  <si>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</si>
  <si>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</si>
  <si>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</si>
  <si>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</si>
  <si>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</si>
  <si>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</si>
  <si>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</si>
  <si>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</si>
  <si>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</si>
  <si>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</si>
  <si>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</si>
  <si>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</si>
  <si>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</si>
  <si>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</si>
  <si>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</si>
  <si>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</si>
  <si>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</si>
  <si>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</si>
  <si>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</si>
  <si>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</si>
  <si>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</si>
  <si>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</si>
  <si>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</si>
  <si>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</si>
  <si>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</si>
  <si>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</si>
  <si>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</si>
  <si>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</si>
  <si>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</si>
  <si>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</si>
  <si>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</si>
  <si>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</si>
  <si>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</si>
  <si>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</si>
  <si>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</si>
  <si>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</si>
  <si>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</si>
  <si>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</si>
  <si>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</si>
  <si>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</si>
  <si>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</si>
  <si>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</si>
  <si>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</si>
  <si>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</si>
  <si>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</si>
  <si>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</si>
  <si>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</si>
  <si>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</si>
  <si>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</si>
  <si>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</si>
  <si>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</si>
  <si>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</si>
  <si>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</si>
  <si>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</si>
  <si>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</si>
  <si>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</si>
  <si>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</si>
  <si>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</si>
  <si>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</si>
  <si>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</si>
  <si>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</si>
  <si>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</si>
  <si>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</si>
  <si>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</si>
  <si>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</si>
  <si>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</si>
  <si>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</si>
  <si>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</si>
  <si>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</si>
  <si>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</si>
  <si>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</si>
  <si>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</si>
  <si>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</si>
  <si>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</si>
  <si>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</si>
  <si>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</si>
  <si>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</si>
  <si>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</si>
  <si>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</si>
  <si>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</si>
  <si>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</si>
  <si>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</si>
  <si>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</si>
  <si>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</si>
  <si>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</si>
  <si>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</si>
  <si>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</si>
  <si>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</si>
  <si>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</si>
  <si>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</si>
  <si>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</si>
  <si>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</si>
  <si>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</si>
  <si>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</si>
  <si>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</si>
  <si>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</si>
  <si>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</si>
  <si>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</si>
  <si>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</si>
  <si>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</si>
  <si>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</si>
  <si>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</si>
  <si>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</si>
  <si>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</si>
  <si>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</si>
  <si>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</si>
  <si>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</si>
  <si>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</si>
  <si>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</si>
  <si>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</si>
  <si>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</si>
  <si>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</si>
  <si>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</si>
  <si>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</si>
  <si>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</si>
  <si>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</si>
  <si>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</si>
  <si>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</si>
  <si>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</si>
  <si>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</si>
  <si>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</si>
  <si>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</si>
  <si>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</si>
  <si>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</si>
  <si>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</si>
  <si>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</si>
  <si>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</si>
  <si>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</si>
  <si>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</si>
  <si>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</si>
  <si>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</si>
  <si>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</si>
  <si>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</si>
  <si>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</si>
  <si>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</si>
  <si>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</si>
  <si>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</si>
  <si>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</si>
  <si>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</si>
  <si>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</si>
  <si>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</si>
  <si>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</si>
  <si>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</si>
  <si>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</si>
  <si>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</si>
  <si>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</si>
  <si>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</si>
  <si>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</si>
  <si>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</si>
  <si>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</si>
  <si>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</si>
  <si>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</si>
  <si>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</si>
  <si>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</si>
  <si>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</si>
  <si>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</si>
  <si>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</si>
  <si>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</si>
  <si>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</si>
  <si>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</si>
  <si>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</si>
  <si>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</si>
  <si>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</si>
  <si>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</si>
  <si>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</si>
  <si>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</si>
  <si>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</si>
  <si>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</si>
  <si>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</si>
  <si>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</si>
  <si>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</si>
  <si>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</si>
  <si>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</si>
  <si>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</si>
  <si>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</si>
  <si>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</si>
  <si>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</si>
  <si>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</si>
  <si>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</si>
  <si>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</si>
  <si>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</si>
  <si>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</si>
  <si>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</si>
  <si>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</si>
  <si>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</si>
  <si>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</si>
  <si>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</si>
  <si>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</si>
  <si>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</si>
  <si>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</si>
  <si>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</si>
  <si>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</si>
  <si>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</si>
  <si>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</si>
  <si>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</si>
  <si>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</si>
  <si>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</si>
  <si>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</si>
  <si>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</si>
  <si>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</si>
  <si>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</si>
  <si>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</si>
  <si>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</si>
  <si>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</si>
  <si>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</si>
  <si>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</si>
  <si>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</si>
  <si>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</si>
  <si>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</si>
  <si>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</si>
  <si>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</si>
  <si>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</si>
  <si>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</si>
  <si>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</si>
  <si>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</si>
  <si>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</si>
  <si>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</si>
  <si>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</si>
  <si>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</si>
  <si>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</si>
  <si>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</si>
  <si>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</si>
  <si>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</si>
  <si>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</si>
  <si>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</si>
  <si>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</si>
  <si>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</si>
  <si>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</si>
  <si>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</si>
  <si>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</si>
  <si>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</si>
  <si>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</si>
  <si>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</si>
  <si>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</si>
  <si>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</si>
  <si>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</si>
  <si>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</si>
  <si>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</si>
  <si>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</si>
  <si>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</si>
  <si>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</si>
  <si>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</si>
  <si>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</si>
  <si>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</si>
  <si>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</si>
  <si>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</si>
  <si>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</si>
  <si>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</si>
  <si>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</si>
  <si>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</si>
  <si>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</si>
  <si>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</si>
  <si>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</si>
  <si>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</si>
  <si>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</si>
  <si>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</si>
  <si>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</si>
  <si>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</si>
  <si>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</si>
  <si>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</si>
  <si>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</si>
  <si>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</si>
  <si>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</si>
  <si>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</si>
  <si>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</si>
  <si>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</si>
  <si>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</si>
  <si>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</si>
  <si>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</si>
  <si>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</si>
  <si>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</si>
  <si>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</si>
  <si>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</si>
  <si>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</si>
  <si>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</si>
  <si>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</si>
  <si>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</si>
  <si>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</si>
  <si>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</si>
  <si>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</si>
  <si>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</si>
  <si>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</si>
  <si>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</si>
  <si>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</si>
  <si>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</si>
  <si>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</si>
  <si>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</si>
  <si>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</si>
  <si>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</si>
  <si>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</si>
  <si>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</si>
  <si>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</si>
  <si>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</si>
  <si>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</si>
  <si>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</si>
  <si>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</si>
  <si>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</si>
  <si>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</si>
  <si>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</si>
  <si>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</si>
  <si>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</si>
  <si>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</si>
  <si>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</si>
  <si>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</si>
  <si>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</si>
  <si>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</si>
  <si>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</si>
  <si>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</si>
  <si>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</si>
  <si>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</si>
  <si>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</si>
  <si>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</si>
  <si>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</si>
  <si>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</si>
  <si>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</si>
  <si>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</si>
  <si>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</si>
  <si>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</si>
  <si>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</si>
  <si>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</si>
  <si>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</si>
  <si>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</si>
  <si>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</si>
  <si>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</si>
  <si>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</si>
  <si>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</si>
  <si>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</si>
  <si>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</si>
  <si>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</si>
  <si>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</si>
  <si>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</si>
  <si>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</si>
  <si>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</si>
  <si>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</si>
  <si>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</si>
  <si>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</si>
  <si>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</si>
  <si>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</si>
  <si>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</si>
  <si>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</si>
  <si>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</si>
  <si>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</si>
  <si>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</si>
  <si>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</si>
  <si>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</si>
  <si>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</si>
  <si>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</si>
  <si>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</si>
  <si>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</si>
  <si>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</si>
  <si>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</si>
  <si>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</si>
  <si>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</si>
  <si>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</si>
  <si>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</si>
  <si>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</si>
  <si>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</si>
  <si>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</si>
  <si>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</si>
  <si>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</si>
  <si>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</si>
  <si>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</si>
  <si>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</si>
  <si>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</si>
  <si>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</si>
  <si>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</si>
  <si>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</si>
  <si>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</si>
  <si>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</si>
  <si>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</si>
  <si>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</si>
  <si>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</si>
  <si>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</si>
  <si>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</si>
  <si>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</si>
  <si>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</si>
  <si>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</si>
  <si>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</si>
  <si>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</si>
  <si>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</si>
  <si>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</si>
  <si>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</si>
  <si>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</si>
  <si>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</si>
  <si>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</si>
  <si>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</si>
  <si>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</si>
  <si>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</si>
  <si>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</si>
  <si>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</si>
  <si>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</si>
  <si>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</si>
  <si>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</si>
  <si>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</si>
  <si>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</si>
  <si>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</si>
  <si>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</si>
  <si>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</si>
  <si>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</si>
  <si>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</si>
  <si>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</si>
  <si>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</si>
  <si>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</si>
  <si>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</si>
  <si>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</si>
  <si>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</si>
  <si>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</si>
  <si>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</si>
  <si>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</si>
  <si>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</si>
  <si>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</si>
  <si>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</si>
  <si>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</si>
  <si>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</si>
  <si>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</si>
  <si>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</si>
  <si>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</si>
  <si>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</si>
  <si>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</si>
  <si>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</si>
  <si>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</si>
  <si>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</si>
  <si>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</si>
  <si>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</si>
  <si>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</si>
  <si>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</si>
  <si>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</si>
  <si>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</si>
  <si>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</si>
  <si>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</si>
  <si>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</si>
  <si>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</si>
  <si>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</si>
  <si>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</si>
  <si>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</si>
  <si>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</si>
  <si>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</si>
  <si>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</si>
  <si>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</si>
  <si>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</si>
  <si>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</si>
  <si>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</si>
  <si>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</si>
  <si>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</si>
  <si>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</si>
  <si>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</si>
  <si>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</si>
  <si>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</si>
  <si>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</si>
  <si>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</si>
  <si>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</si>
  <si>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</si>
  <si>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</si>
  <si>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</si>
  <si>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</si>
  <si>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</si>
  <si>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</si>
  <si>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</si>
  <si>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</si>
  <si>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</si>
  <si>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</si>
  <si>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</si>
  <si>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</si>
  <si>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</si>
  <si>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</si>
  <si>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</si>
  <si>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</si>
  <si>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</si>
  <si>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</si>
  <si>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</si>
  <si>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</si>
  <si>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</si>
  <si>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</si>
  <si>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</si>
  <si>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</si>
  <si>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</si>
  <si>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</si>
  <si>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</si>
  <si>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</si>
  <si>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</si>
  <si>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</si>
  <si>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</si>
  <si>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</si>
  <si>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</si>
  <si>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</si>
  <si>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</si>
  <si>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</si>
  <si>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</si>
  <si>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</si>
  <si>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</si>
  <si>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</si>
  <si>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</si>
  <si>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</si>
  <si>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</si>
  <si>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</si>
  <si>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</si>
  <si>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</si>
  <si>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</si>
  <si>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</si>
  <si>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</si>
  <si>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</si>
  <si>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</si>
  <si>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</si>
  <si>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</si>
  <si>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</si>
  <si>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</si>
  <si>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</si>
  <si>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</si>
  <si>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</si>
  <si>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</si>
  <si>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</si>
  <si>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</si>
  <si>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</si>
  <si>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</si>
  <si>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</si>
  <si>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</si>
  <si>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</si>
  <si>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</si>
  <si>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</si>
  <si>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</si>
  <si>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</si>
  <si>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</si>
  <si>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</si>
  <si>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</si>
  <si>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</si>
  <si>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</si>
  <si>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</si>
  <si>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</si>
  <si>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</si>
  <si>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</si>
  <si>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</si>
  <si>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</si>
  <si>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</si>
  <si>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</si>
  <si>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</si>
  <si>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</si>
  <si>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</si>
  <si>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</si>
  <si>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</si>
  <si>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</si>
  <si>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</si>
  <si>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</si>
  <si>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</si>
  <si>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</si>
  <si>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</si>
  <si>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</si>
  <si>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</si>
  <si>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</si>
  <si>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</si>
  <si>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</si>
  <si>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</si>
  <si>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</si>
  <si>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</si>
  <si>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</si>
  <si>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</si>
  <si>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</si>
  <si>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</si>
  <si>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</si>
  <si>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</si>
  <si>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</si>
  <si>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</si>
  <si>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</si>
  <si>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</si>
  <si>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</si>
  <si>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</si>
  <si>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</si>
  <si>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</si>
  <si>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</si>
  <si>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</si>
  <si>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</si>
  <si>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</si>
  <si>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</si>
  <si>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</si>
  <si>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</si>
  <si>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</si>
  <si>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</si>
  <si>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</si>
  <si>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</si>
  <si>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</si>
  <si>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</si>
  <si>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</si>
  <si>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</si>
  <si>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</si>
  <si>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</si>
  <si>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</si>
  <si>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</si>
  <si>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</si>
  <si>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</si>
  <si>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</si>
  <si>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</si>
  <si>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</si>
  <si>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</si>
  <si>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</si>
  <si>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</si>
  <si>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</si>
  <si>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</si>
  <si>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</si>
  <si>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</si>
  <si>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</si>
  <si>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</si>
  <si>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</si>
  <si>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</si>
  <si>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</si>
  <si>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</si>
  <si>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</si>
  <si>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</si>
  <si>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</si>
  <si>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</si>
  <si>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</si>
  <si>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</si>
  <si>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</si>
  <si>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</si>
  <si>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</si>
  <si>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</si>
  <si>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</si>
  <si>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</si>
  <si>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</si>
  <si>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</si>
  <si>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</si>
  <si>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</si>
  <si>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</si>
  <si>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</si>
  <si>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</si>
  <si>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</si>
  <si>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</si>
  <si>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</si>
  <si>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</si>
  <si>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</si>
  <si>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</si>
  <si>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</si>
  <si>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</si>
  <si>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</si>
  <si>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</si>
  <si>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</si>
  <si>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</si>
  <si>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</si>
  <si>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</si>
  <si>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</si>
  <si>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</si>
  <si>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</si>
  <si>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</si>
  <si>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</si>
  <si>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</si>
  <si>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</si>
  <si>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</si>
  <si>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</si>
  <si>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</si>
  <si>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</si>
  <si>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</si>
  <si>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</si>
  <si>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</si>
  <si>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</si>
  <si>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</si>
  <si>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</si>
  <si>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</si>
  <si>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</si>
  <si>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</si>
  <si>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</si>
  <si>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</si>
  <si>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</si>
  <si>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</si>
  <si>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</si>
  <si>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</si>
  <si>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</si>
  <si>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</si>
  <si>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</si>
  <si>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</si>
  <si>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</si>
  <si>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</si>
  <si>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</si>
  <si>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</si>
  <si>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</si>
  <si>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</si>
  <si>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</si>
  <si>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</si>
  <si>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</si>
  <si>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</si>
  <si>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</si>
  <si>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</si>
  <si>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</si>
  <si>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</si>
  <si>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</si>
  <si>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</si>
  <si>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</si>
  <si>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</si>
  <si>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</si>
  <si>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</si>
  <si>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</si>
  <si>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</si>
  <si>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</si>
  <si>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</si>
  <si>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</si>
  <si>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</si>
  <si>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</si>
  <si>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</si>
  <si>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</si>
  <si>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</si>
  <si>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</si>
  <si>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</si>
  <si>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</si>
  <si>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</si>
  <si>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</si>
  <si>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</si>
  <si>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</si>
  <si>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</si>
  <si>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</si>
  <si>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</si>
  <si>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</si>
  <si>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</si>
  <si>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</si>
  <si>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</si>
  <si>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</si>
  <si>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</si>
  <si>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</si>
  <si>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</si>
  <si>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</si>
  <si>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</si>
  <si>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</si>
  <si>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</si>
  <si>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</si>
  <si>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</si>
  <si>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</si>
  <si>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</si>
  <si>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</si>
  <si>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</si>
  <si>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</si>
  <si>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</si>
  <si>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</si>
  <si>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</si>
  <si>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</si>
  <si>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</si>
  <si>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</si>
  <si>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</si>
  <si>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</si>
  <si>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</si>
  <si>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</si>
  <si>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</si>
  <si>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</si>
  <si>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</si>
  <si>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</si>
  <si>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</si>
  <si>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</si>
  <si>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</si>
  <si>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</si>
  <si>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</si>
  <si>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</si>
  <si>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</si>
  <si>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</si>
  <si>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</si>
  <si>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</si>
  <si>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</si>
  <si>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</si>
  <si>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</si>
  <si>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</si>
  <si>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</si>
  <si>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</si>
  <si>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</si>
  <si>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</si>
  <si>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</si>
  <si>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</si>
  <si>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</si>
  <si>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</si>
  <si>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</si>
  <si>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</si>
  <si>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</si>
  <si>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</si>
  <si>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</si>
  <si>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</si>
  <si>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</si>
  <si>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</si>
  <si>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</si>
  <si>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</si>
  <si>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</si>
  <si>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</si>
  <si>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</si>
  <si>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</si>
  <si>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</si>
  <si>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</si>
  <si>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</si>
  <si>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</si>
  <si>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</si>
  <si>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</si>
  <si>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</si>
  <si>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</si>
  <si>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</si>
  <si>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</si>
  <si>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</si>
  <si>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</si>
  <si>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</si>
  <si>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</si>
  <si>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</si>
  <si>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</si>
  <si>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</si>
  <si>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</si>
  <si>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</si>
  <si>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</si>
  <si>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</si>
  <si>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</si>
  <si>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</si>
  <si>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</si>
  <si>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</si>
  <si>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</si>
  <si>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</si>
  <si>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</si>
  <si>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</si>
  <si>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</si>
  <si>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</si>
  <si>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</si>
  <si>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</si>
  <si>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</si>
  <si>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</si>
  <si>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</si>
  <si>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</si>
  <si>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</si>
  <si>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</si>
  <si>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</si>
  <si>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</si>
  <si>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</si>
  <si>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</si>
  <si>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</si>
  <si>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</si>
  <si>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</si>
  <si>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</si>
  <si>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</si>
  <si>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</si>
  <si>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</si>
  <si>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</si>
  <si>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</si>
  <si>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</si>
  <si>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</si>
  <si>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</si>
  <si>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</si>
  <si>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</si>
  <si>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</si>
  <si>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</si>
  <si>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</si>
  <si>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</si>
  <si>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</si>
  <si>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</si>
  <si>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</si>
  <si>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</si>
  <si>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</si>
  <si>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</si>
  <si>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</si>
  <si>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</si>
  <si>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</si>
  <si>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</si>
  <si>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</si>
  <si>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</si>
  <si>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</si>
  <si>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</si>
  <si>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</si>
  <si>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</si>
  <si>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</si>
  <si>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</si>
  <si>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</si>
  <si>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</si>
  <si>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</si>
  <si>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</si>
  <si>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</si>
  <si>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</si>
  <si>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</si>
  <si>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</si>
  <si>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</si>
  <si>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</si>
  <si>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</si>
  <si>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</si>
  <si>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</si>
  <si>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</si>
  <si>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</si>
  <si>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</si>
  <si>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</si>
  <si>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</si>
  <si>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</si>
  <si>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</si>
  <si>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</si>
  <si>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</si>
  <si>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</si>
  <si>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</si>
  <si>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</si>
  <si>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</si>
  <si>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</si>
  <si>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</si>
  <si>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</si>
  <si>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</si>
  <si>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</si>
  <si>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</si>
  <si>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</si>
  <si>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</si>
  <si>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</si>
  <si>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</si>
  <si>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</si>
  <si>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</si>
  <si>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</si>
  <si>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</si>
  <si>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</si>
  <si>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</si>
  <si>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</si>
  <si>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</si>
  <si>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</si>
  <si>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</si>
  <si>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</si>
  <si>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</si>
  <si>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</si>
  <si>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</si>
  <si>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</si>
  <si>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</si>
  <si>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</si>
  <si>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</si>
  <si>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</si>
  <si>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</si>
  <si>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</si>
  <si>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</si>
  <si>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</si>
  <si>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</si>
  <si>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</si>
  <si>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</si>
  <si>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</si>
  <si>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</si>
  <si>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</si>
  <si>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</si>
  <si>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</si>
  <si>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</si>
  <si>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</si>
  <si>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</si>
  <si>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</si>
  <si>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</si>
  <si>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</si>
  <si>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</si>
  <si>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</si>
  <si>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</si>
  <si>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</si>
  <si>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</si>
  <si>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</si>
  <si>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</si>
  <si>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</si>
  <si>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</si>
  <si>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</si>
  <si>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</si>
  <si>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</si>
  <si>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</si>
  <si>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</si>
  <si>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</si>
  <si>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</si>
  <si>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</si>
  <si>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</si>
  <si>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</si>
  <si>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</si>
  <si>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</si>
  <si>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</si>
  <si>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</si>
  <si>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</si>
  <si>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</si>
  <si>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</si>
  <si>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</si>
  <si>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</si>
  <si>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</si>
  <si>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</si>
  <si>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</si>
  <si>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</si>
  <si>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</si>
  <si>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</si>
  <si>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</si>
  <si>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</si>
  <si>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</si>
  <si>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</si>
  <si>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</si>
  <si>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</si>
  <si>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</si>
  <si>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</si>
  <si>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</si>
  <si>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</si>
  <si>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</si>
  <si>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</si>
  <si>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</si>
  <si>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</si>
  <si>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</si>
  <si>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</si>
  <si>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</si>
  <si>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</si>
  <si>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</si>
  <si>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</si>
  <si>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</si>
  <si>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</si>
  <si>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</si>
  <si>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</si>
  <si>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</si>
  <si>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</si>
  <si>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</si>
  <si>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</si>
  <si>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</si>
  <si>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</si>
  <si>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</si>
  <si>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</si>
  <si>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</si>
  <si>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</si>
  <si>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</si>
  <si>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</si>
  <si>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</si>
  <si>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</si>
  <si>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</si>
  <si>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</si>
  <si>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</si>
  <si>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</si>
  <si>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</si>
  <si>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</si>
  <si>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</si>
  <si>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</si>
  <si>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</si>
  <si>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</si>
  <si>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</si>
  <si>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</si>
  <si>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</si>
  <si>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</si>
  <si>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</si>
  <si>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</si>
  <si>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</si>
  <si>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</si>
  <si>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</si>
  <si>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</si>
  <si>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</si>
  <si>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</si>
  <si>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</si>
  <si>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</si>
  <si>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</si>
  <si>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</si>
  <si>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</si>
  <si>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</si>
  <si>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</si>
  <si>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</si>
  <si>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</si>
  <si>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</si>
  <si>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</si>
  <si>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</si>
  <si>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</si>
  <si>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</si>
  <si>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</si>
  <si>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</si>
  <si>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</si>
  <si>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</si>
  <si>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</si>
  <si>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</si>
  <si>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</si>
  <si>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</si>
  <si>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</si>
  <si>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</si>
  <si>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</si>
  <si>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</si>
  <si>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</si>
  <si>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</si>
  <si>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</si>
  <si>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</si>
  <si>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</si>
  <si>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</si>
  <si>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</si>
  <si>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</si>
  <si>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</si>
  <si>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</si>
  <si>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</si>
  <si>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</si>
  <si>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</si>
  <si>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</si>
  <si>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</si>
  <si>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</si>
  <si>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</si>
  <si>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</si>
  <si>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</si>
  <si>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</si>
  <si>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</si>
  <si>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</si>
  <si>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</si>
  <si>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</si>
  <si>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</si>
  <si>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</si>
  <si>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</si>
  <si>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</si>
  <si>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</si>
  <si>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</si>
  <si>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</si>
  <si>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</si>
  <si>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</si>
  <si>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</si>
  <si>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</si>
  <si>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</si>
  <si>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</si>
  <si>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</si>
  <si>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</si>
  <si>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</si>
  <si>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</si>
  <si>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</si>
  <si>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</si>
  <si>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</si>
  <si>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</si>
  <si>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</si>
  <si>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</si>
  <si>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</si>
  <si>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</si>
  <si>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</si>
  <si>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</si>
  <si>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</si>
  <si>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</si>
  <si>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</si>
  <si>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</si>
  <si>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</si>
  <si>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</si>
  <si>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</si>
  <si>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</si>
  <si>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</si>
  <si>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</si>
  <si>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</si>
  <si>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</si>
  <si>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</si>
  <si>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</si>
  <si>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</si>
  <si>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</si>
  <si>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</si>
  <si>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</si>
  <si>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</si>
  <si>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</si>
  <si>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</si>
  <si>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</si>
  <si>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</si>
  <si>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</si>
  <si>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</si>
  <si>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</si>
  <si>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</si>
  <si>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</si>
  <si>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</si>
  <si>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</si>
  <si>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</si>
  <si>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</si>
  <si>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</si>
  <si>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</si>
  <si>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</si>
  <si>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</si>
  <si>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</si>
  <si>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</si>
  <si>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</si>
  <si>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</si>
  <si>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</si>
  <si>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</si>
  <si>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</si>
  <si>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</si>
  <si>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</si>
  <si>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</si>
  <si>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</si>
  <si>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</si>
  <si>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</si>
  <si>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</si>
  <si>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</si>
  <si>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</si>
  <si>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</si>
  <si>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</si>
  <si>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</si>
  <si>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</si>
  <si>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</si>
  <si>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</si>
  <si>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</si>
  <si>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</si>
  <si>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</si>
  <si>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</si>
  <si>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</si>
  <si>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</si>
  <si>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</si>
  <si>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</si>
  <si>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</si>
  <si>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</si>
  <si>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</si>
  <si>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</si>
  <si>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</si>
  <si>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</si>
  <si>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</si>
  <si>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</si>
  <si>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</si>
  <si>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</si>
  <si>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</si>
  <si>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</si>
  <si>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</si>
  <si>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</si>
  <si>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</si>
  <si>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</si>
  <si>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</si>
  <si>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</si>
  <si>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</si>
  <si>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</si>
  <si>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</si>
  <si>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</si>
  <si>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</si>
  <si>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</si>
  <si>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</si>
  <si>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</si>
  <si>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</si>
  <si>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</si>
  <si>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</si>
  <si>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</si>
  <si>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</si>
  <si>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</si>
  <si>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</si>
  <si>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</si>
  <si>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</si>
  <si>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</si>
  <si>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</si>
  <si>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</si>
  <si>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</si>
  <si>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</si>
  <si>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</si>
  <si>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</si>
  <si>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</si>
  <si>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</si>
  <si>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</si>
  <si>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</si>
  <si>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</si>
  <si>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</si>
  <si>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</si>
  <si>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</si>
  <si>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</si>
  <si>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</si>
  <si>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</si>
  <si>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</si>
  <si>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</si>
  <si>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</si>
  <si>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</si>
  <si>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</si>
  <si>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</si>
  <si>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</si>
  <si>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</si>
  <si>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</si>
  <si>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</si>
  <si>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</si>
  <si>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</si>
  <si>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</si>
  <si>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</si>
  <si>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</si>
  <si>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</si>
  <si>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</si>
  <si>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</si>
  <si>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</si>
  <si>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</si>
  <si>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</si>
  <si>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</si>
  <si>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</si>
  <si>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</si>
  <si>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</si>
  <si>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</si>
  <si>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</si>
  <si>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</si>
  <si>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</si>
  <si>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</si>
  <si>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</si>
  <si>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</si>
  <si>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</si>
  <si>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</si>
  <si>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</si>
  <si>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</si>
  <si>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</si>
  <si>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</si>
  <si>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</si>
  <si>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</si>
  <si>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</si>
  <si>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</si>
  <si>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</si>
  <si>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</si>
  <si>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</si>
  <si>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</si>
  <si>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</si>
  <si>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</si>
  <si>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</si>
  <si>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</si>
  <si>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</si>
  <si>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</si>
  <si>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</si>
  <si>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</si>
  <si>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</si>
  <si>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</si>
  <si>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</si>
  <si>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</si>
  <si>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</si>
  <si>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</si>
  <si>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</si>
  <si>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</si>
  <si>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</si>
  <si>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</si>
  <si>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</si>
  <si>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</si>
  <si>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</si>
  <si>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</si>
  <si>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</si>
  <si>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</si>
  <si>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</si>
  <si>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</si>
  <si>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</si>
  <si>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</si>
  <si>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</si>
  <si>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</si>
  <si>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</si>
  <si>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</si>
  <si>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</si>
  <si>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</si>
  <si>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</si>
  <si>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</si>
  <si>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</si>
  <si>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</si>
  <si>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</si>
  <si>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</si>
  <si>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</si>
  <si>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</si>
  <si>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</si>
  <si>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</si>
  <si>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</si>
  <si>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</si>
  <si>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</si>
  <si>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</si>
  <si>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</si>
  <si>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</si>
  <si>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</si>
  <si>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</si>
  <si>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</si>
  <si>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</si>
  <si>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</si>
  <si>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</si>
  <si>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</si>
  <si>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</si>
  <si>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</si>
  <si>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</si>
  <si>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</si>
  <si>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</si>
  <si>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</si>
  <si>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</si>
  <si>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</si>
  <si>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</si>
  <si>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</si>
  <si>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</si>
  <si>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</si>
  <si>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</si>
  <si>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</si>
  <si>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</si>
  <si>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</si>
  <si>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</si>
  <si>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</si>
  <si>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</si>
  <si>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</si>
  <si>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</si>
  <si>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</si>
  <si>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</si>
  <si>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</si>
  <si>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</si>
  <si>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</si>
  <si>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</si>
  <si>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</si>
  <si>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</si>
  <si>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</si>
  <si>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</si>
  <si>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</si>
  <si>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</si>
  <si>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</si>
  <si>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</si>
  <si>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</si>
  <si>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</si>
  <si>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</si>
  <si>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</si>
  <si>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</si>
  <si>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</si>
  <si>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</si>
  <si>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</si>
  <si>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</si>
  <si>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</si>
  <si>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</si>
  <si>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</si>
  <si>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</si>
  <si>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</si>
  <si>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</si>
  <si>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</si>
  <si>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</si>
  <si>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</si>
  <si>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</si>
  <si>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</si>
  <si>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</si>
  <si>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</si>
  <si>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</si>
  <si>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</si>
  <si>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</si>
  <si>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</si>
  <si>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</si>
  <si>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</si>
  <si>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</si>
  <si>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</si>
  <si>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</si>
  <si>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</si>
  <si>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</si>
  <si>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</si>
  <si>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</si>
  <si>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</si>
  <si>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</si>
  <si>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</si>
  <si>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</si>
  <si>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</si>
  <si>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</si>
  <si>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</si>
  <si>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</si>
  <si>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</si>
  <si>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</si>
  <si>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</si>
  <si>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</si>
  <si>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</si>
  <si>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</si>
  <si>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</si>
  <si>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</si>
  <si>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</si>
  <si>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</si>
  <si>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</si>
  <si>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</si>
  <si>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</si>
  <si>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</si>
  <si>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</si>
  <si>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</si>
  <si>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</si>
  <si>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</si>
  <si>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</si>
  <si>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</si>
  <si>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</si>
  <si>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</si>
  <si>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</si>
  <si>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</si>
  <si>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</si>
  <si>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</si>
  <si>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</si>
  <si>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</si>
  <si>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</si>
  <si>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</si>
  <si>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</si>
  <si>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</si>
  <si>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</si>
  <si>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</si>
  <si>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</si>
  <si>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</si>
  <si>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</si>
  <si>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</si>
  <si>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</si>
  <si>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</si>
  <si>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</si>
  <si>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</si>
  <si>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</si>
  <si>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</si>
  <si>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</si>
  <si>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</si>
  <si>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</si>
  <si>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</si>
  <si>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</si>
  <si>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</si>
  <si>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</si>
  <si>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</si>
  <si>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</si>
  <si>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</si>
  <si>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</si>
  <si>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</si>
  <si>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</si>
  <si>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</si>
  <si>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</si>
  <si>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</si>
  <si>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</si>
  <si>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</si>
  <si>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</si>
  <si>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</si>
  <si>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</si>
  <si>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</si>
  <si>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</si>
  <si>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</si>
  <si>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</si>
  <si>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</si>
  <si>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</si>
  <si>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</si>
  <si>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</si>
  <si>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</si>
  <si>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</si>
  <si>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</si>
  <si>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</si>
  <si>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</si>
  <si>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</si>
  <si>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</si>
  <si>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</si>
  <si>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</si>
  <si>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</si>
  <si>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</si>
  <si>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</si>
  <si>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</si>
  <si>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</si>
  <si>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</si>
  <si>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</si>
  <si>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</si>
  <si>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</si>
  <si>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</si>
  <si>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</si>
  <si>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</si>
  <si>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</si>
  <si>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</si>
  <si>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</si>
  <si>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</si>
  <si>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</si>
  <si>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</si>
  <si>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</si>
  <si>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</si>
  <si>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</si>
  <si>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</si>
  <si>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</si>
  <si>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</si>
  <si>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</si>
  <si>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</si>
  <si>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</si>
  <si>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</si>
  <si>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</si>
  <si>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</si>
  <si>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</si>
  <si>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</si>
  <si>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</si>
  <si>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</si>
  <si>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</si>
  <si>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</si>
  <si>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</si>
  <si>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</si>
  <si>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</si>
  <si>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</si>
  <si>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</si>
  <si>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</si>
  <si>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</si>
  <si>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</si>
  <si>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</si>
  <si>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</si>
  <si>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</si>
  <si>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</si>
  <si>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</si>
  <si>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</si>
  <si>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</si>
  <si>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</si>
  <si>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</si>
  <si>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</si>
  <si>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</si>
  <si>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</si>
  <si>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</si>
  <si>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</si>
  <si>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</si>
  <si>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</si>
  <si>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</si>
  <si>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</si>
  <si>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</si>
  <si>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</si>
  <si>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</si>
  <si>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</si>
  <si>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</si>
  <si>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</si>
  <si>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</si>
  <si>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</si>
  <si>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</si>
  <si>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</si>
  <si>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</si>
  <si>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</si>
  <si>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</si>
  <si>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</si>
  <si>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</si>
  <si>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</si>
  <si>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</si>
  <si>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</si>
  <si>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</si>
  <si>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</si>
  <si>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</si>
  <si>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</si>
  <si>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</si>
  <si>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</si>
  <si>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</si>
  <si>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</si>
  <si>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</si>
  <si>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</si>
  <si>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</si>
  <si>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</si>
  <si>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</si>
  <si>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</si>
  <si>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</si>
  <si>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</si>
  <si>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</si>
  <si>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</si>
  <si>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</si>
  <si>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</si>
  <si>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</si>
  <si>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</si>
  <si>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</si>
  <si>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</si>
  <si>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</si>
  <si>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</si>
  <si>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</si>
  <si>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</si>
  <si>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</si>
  <si>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</si>
  <si>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</si>
  <si>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</si>
  <si>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</si>
  <si>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</si>
  <si>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</si>
  <si>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</si>
  <si>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</si>
  <si>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</si>
  <si>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</si>
  <si>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</si>
  <si>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</si>
  <si>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</si>
  <si>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</si>
  <si>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</si>
  <si>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</si>
  <si>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</si>
  <si>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</si>
  <si>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</si>
  <si>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</si>
  <si>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</si>
  <si>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</si>
  <si>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</si>
  <si>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</si>
  <si>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</si>
  <si>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</si>
  <si>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</si>
  <si>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</si>
  <si>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</si>
  <si>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</si>
  <si>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</si>
  <si>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</si>
  <si>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</si>
  <si>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</si>
  <si>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</si>
  <si>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</si>
  <si>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</si>
  <si>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</si>
  <si>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</si>
  <si>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</si>
  <si>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</si>
  <si>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</si>
  <si>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</si>
  <si>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</si>
  <si>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</si>
  <si>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</si>
  <si>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</si>
  <si>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</si>
  <si>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</si>
  <si>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</si>
  <si>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</si>
  <si>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</si>
  <si>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</si>
  <si>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</si>
  <si>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</si>
  <si>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</si>
  <si>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</si>
  <si>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</si>
  <si>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</si>
  <si>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</si>
  <si>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</si>
  <si>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</si>
  <si>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</si>
  <si>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</si>
  <si>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</si>
  <si>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</si>
  <si>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</si>
  <si>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</si>
  <si>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</si>
  <si>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</si>
  <si>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</si>
  <si>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</si>
  <si>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</si>
  <si>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</si>
  <si>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</si>
  <si>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</si>
  <si>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</si>
  <si>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</si>
  <si>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</si>
  <si>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</si>
  <si>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</si>
  <si>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</si>
  <si>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</si>
  <si>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</si>
  <si>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</si>
  <si>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</si>
  <si>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</si>
  <si>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</si>
  <si>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</si>
  <si>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</si>
  <si>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</si>
  <si>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</si>
  <si>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</si>
  <si>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</si>
  <si>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</si>
  <si>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</si>
  <si>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</si>
  <si>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</si>
  <si>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</si>
  <si>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</si>
  <si>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</si>
  <si>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</si>
  <si>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</si>
  <si>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</si>
  <si>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</si>
  <si>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</si>
  <si>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</si>
  <si>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</si>
  <si>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</si>
  <si>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</si>
  <si>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</si>
  <si>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</si>
  <si>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</si>
  <si>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</si>
  <si>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</si>
  <si>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</si>
  <si>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</si>
  <si>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</si>
  <si>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</si>
  <si>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</si>
  <si>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</si>
  <si>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</si>
  <si>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</si>
  <si>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</si>
  <si>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</si>
  <si>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</si>
  <si>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</si>
  <si>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</si>
  <si>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</si>
  <si>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</si>
  <si>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</si>
  <si>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</si>
  <si>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</si>
  <si>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</si>
  <si>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</si>
  <si>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</si>
  <si>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</si>
  <si>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</si>
  <si>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</si>
  <si>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</si>
  <si>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</si>
  <si>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</si>
  <si>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</si>
  <si>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</si>
  <si>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</si>
  <si>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</si>
  <si>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</si>
  <si>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</si>
  <si>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</si>
  <si>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</si>
  <si>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</si>
  <si>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</si>
  <si>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</si>
  <si>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</si>
  <si>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</si>
  <si>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</si>
  <si>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</si>
  <si>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</si>
  <si>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</si>
  <si>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</si>
  <si>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</si>
  <si>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</si>
  <si>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</si>
  <si>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</si>
  <si>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</si>
  <si>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</si>
  <si>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</si>
  <si>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</si>
  <si>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</si>
  <si>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</si>
  <si>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</si>
  <si>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</si>
  <si>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</si>
  <si>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</si>
  <si>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</si>
  <si>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</si>
  <si>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</si>
  <si>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</si>
  <si>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</si>
  <si>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</si>
  <si>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</si>
  <si>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</si>
  <si>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</si>
  <si>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</si>
  <si>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</si>
  <si>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</si>
  <si>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</si>
  <si>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</si>
  <si>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</si>
  <si>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</si>
  <si>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</si>
  <si>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</si>
  <si>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</si>
  <si>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</si>
  <si>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</si>
  <si>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</si>
  <si>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</si>
  <si>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</si>
  <si>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</si>
  <si>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</si>
  <si>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</si>
  <si>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</si>
  <si>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</si>
  <si>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</si>
  <si>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</si>
  <si>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</si>
  <si>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</si>
  <si>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</si>
  <si>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</si>
  <si>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</si>
  <si>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</si>
  <si>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</si>
  <si>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</si>
  <si>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</si>
  <si>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</si>
  <si>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</si>
  <si>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</si>
  <si>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</si>
  <si>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</si>
  <si>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</si>
  <si>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</si>
  <si>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</si>
  <si>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</si>
  <si>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</si>
  <si>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</si>
  <si>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</si>
  <si>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</si>
  <si>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</si>
  <si>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</si>
  <si>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</si>
  <si>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</si>
  <si>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</si>
  <si>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</si>
  <si>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</si>
  <si>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</si>
  <si>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</si>
  <si>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</si>
  <si>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</si>
  <si>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</si>
  <si>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</si>
  <si>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</si>
  <si>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</si>
  <si>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</si>
  <si>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</si>
  <si>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</si>
  <si>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</si>
  <si>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</si>
  <si>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</si>
  <si>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</si>
  <si>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</si>
  <si>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</si>
  <si>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</si>
  <si>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</si>
  <si>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</si>
  <si>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</si>
  <si>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</si>
  <si>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</si>
  <si>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</si>
  <si>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</si>
  <si>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</si>
  <si>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</si>
  <si>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</si>
  <si>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</si>
  <si>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</si>
  <si>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</si>
  <si>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</si>
  <si>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</si>
  <si>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</si>
  <si>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</si>
  <si>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</si>
  <si>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</si>
  <si>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</si>
  <si>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</si>
  <si>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</si>
  <si>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</si>
  <si>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</si>
  <si>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</si>
  <si>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</si>
  <si>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</si>
  <si>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</si>
  <si>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</si>
  <si>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</si>
  <si>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</si>
  <si>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</si>
  <si>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</si>
  <si>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</si>
  <si>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</si>
  <si>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</si>
  <si>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</si>
  <si>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</si>
  <si>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</si>
  <si>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</si>
  <si>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</si>
  <si>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</si>
  <si>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</si>
  <si>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</si>
  <si>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</si>
  <si>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</si>
  <si>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</si>
  <si>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</si>
  <si>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</si>
  <si>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</si>
  <si>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</si>
  <si>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</si>
  <si>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</si>
  <si>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</si>
  <si>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</si>
  <si>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</si>
  <si>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</si>
  <si>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</si>
  <si>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</si>
  <si>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</si>
  <si>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</si>
  <si>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</si>
  <si>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</si>
  <si>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</si>
  <si>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</si>
  <si>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</si>
  <si>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</si>
  <si>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</si>
  <si>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</si>
  <si>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</si>
  <si>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</si>
  <si>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</si>
  <si>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</si>
  <si>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</si>
  <si>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</si>
  <si>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</si>
  <si>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</si>
  <si>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</si>
  <si>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</si>
  <si>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</si>
  <si>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</si>
  <si>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</si>
  <si>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</si>
  <si>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</si>
  <si>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</si>
  <si>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</si>
  <si>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</si>
  <si>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</si>
  <si>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</si>
  <si>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</si>
  <si>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</si>
  <si>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</si>
  <si>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</si>
  <si>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</si>
  <si>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</si>
  <si>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</si>
  <si>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</si>
  <si>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</si>
  <si>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</si>
  <si>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</si>
  <si>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</si>
  <si>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</si>
  <si>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</si>
  <si>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</si>
  <si>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</si>
  <si>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</si>
  <si>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</si>
  <si>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</si>
  <si>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</si>
  <si>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</si>
  <si>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</si>
  <si>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</si>
  <si>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</si>
  <si>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</si>
  <si>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</si>
  <si>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</si>
  <si>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</si>
  <si>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</si>
  <si>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</si>
  <si>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</si>
  <si>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</si>
  <si>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</si>
  <si>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</si>
  <si>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</si>
  <si>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</si>
  <si>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</si>
  <si>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</si>
  <si>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</si>
  <si>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</si>
  <si>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</si>
  <si>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</si>
  <si>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</si>
  <si>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</si>
  <si>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</si>
  <si>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</si>
  <si>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</si>
  <si>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</si>
  <si>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</si>
  <si>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</si>
  <si>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</si>
  <si>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</si>
  <si>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</si>
  <si>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</si>
  <si>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</si>
  <si>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</si>
  <si>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</si>
  <si>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</si>
  <si>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</si>
  <si>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</si>
  <si>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</si>
  <si>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</si>
  <si>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</si>
  <si>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</si>
  <si>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</si>
  <si>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</si>
  <si>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</si>
  <si>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</si>
  <si>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</si>
  <si>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</si>
  <si>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</si>
  <si>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</si>
  <si>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</si>
  <si>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</si>
  <si>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</si>
  <si>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</si>
  <si>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</si>
  <si>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</si>
  <si>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</si>
  <si>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</si>
  <si>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</si>
  <si>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</si>
  <si>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</si>
  <si>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</si>
  <si>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</si>
  <si>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</si>
  <si>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</si>
  <si>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</si>
  <si>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</si>
  <si>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</si>
  <si>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</si>
  <si>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</si>
  <si>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</si>
  <si>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</si>
  <si>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</si>
  <si>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</si>
  <si>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</si>
  <si>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</si>
  <si>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</si>
  <si>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</si>
  <si>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</si>
  <si>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</si>
  <si>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</si>
  <si>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</si>
  <si>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</si>
  <si>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</si>
  <si>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</si>
  <si>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</si>
  <si>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</si>
  <si>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</si>
  <si>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</si>
  <si>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</si>
  <si>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</si>
  <si>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</si>
  <si>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</si>
  <si>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</si>
  <si>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</si>
  <si>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</si>
  <si>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</si>
  <si>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</si>
  <si>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</si>
  <si>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</si>
  <si>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</si>
  <si>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</si>
  <si>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</si>
  <si>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</si>
  <si>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</si>
  <si>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</si>
  <si>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</si>
  <si>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</si>
  <si>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</si>
  <si>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</si>
  <si>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</si>
  <si>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</si>
  <si>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</si>
  <si>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</si>
  <si>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</si>
  <si>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</si>
  <si>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</si>
  <si>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</si>
  <si>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</si>
  <si>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</si>
  <si>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</si>
  <si>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</si>
  <si>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</si>
  <si>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</si>
  <si>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</si>
  <si>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</si>
  <si>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</si>
  <si>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</si>
  <si>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</si>
  <si>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</si>
  <si>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</si>
  <si>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</si>
  <si>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</si>
  <si>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</si>
  <si>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</si>
  <si>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</si>
  <si>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</si>
  <si>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</si>
  <si>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</si>
  <si>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</si>
  <si>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</si>
  <si>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</si>
  <si>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</si>
  <si>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</si>
  <si>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</si>
  <si>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</si>
  <si>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</si>
  <si>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</si>
  <si>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</si>
  <si>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</si>
  <si>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</si>
  <si>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</si>
  <si>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</si>
  <si>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</si>
  <si>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</si>
  <si>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</si>
  <si>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</si>
  <si>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</si>
  <si>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</si>
  <si>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</si>
  <si>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</si>
  <si>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</si>
  <si>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</si>
  <si>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</si>
  <si>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</si>
  <si>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</si>
  <si>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</si>
  <si>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</si>
  <si>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</si>
  <si>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</si>
  <si>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</si>
  <si>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</si>
  <si>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</si>
  <si>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</si>
  <si>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</si>
  <si>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</si>
  <si>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</si>
  <si>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</si>
  <si>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</si>
  <si>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</si>
  <si>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</si>
  <si>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</si>
  <si>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</si>
  <si>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</si>
  <si>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</si>
  <si>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</si>
  <si>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</si>
  <si>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</si>
  <si>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</si>
  <si>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</si>
  <si>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</si>
  <si>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</si>
  <si>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</si>
  <si>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</si>
  <si>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</si>
  <si>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</si>
  <si>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</si>
  <si>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</si>
  <si>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</si>
  <si>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</si>
  <si>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</si>
  <si>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</si>
  <si>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</si>
  <si>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</si>
  <si>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</si>
  <si>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</si>
  <si>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</si>
  <si>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</si>
  <si>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</si>
  <si>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</si>
  <si>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</si>
  <si>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</si>
  <si>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</si>
  <si>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</si>
  <si>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</si>
  <si>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</si>
  <si>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</si>
  <si>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</si>
  <si>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</si>
  <si>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</si>
  <si>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</si>
  <si>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</si>
  <si>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</si>
  <si>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</si>
  <si>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</si>
  <si>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</si>
  <si>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</si>
  <si>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</si>
  <si>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</si>
  <si>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</si>
  <si>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</si>
  <si>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</si>
  <si>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</si>
  <si>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</si>
  <si>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</si>
  <si>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</si>
  <si>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</si>
  <si>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</si>
  <si>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</si>
  <si>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</si>
  <si>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</si>
  <si>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</si>
  <si>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</si>
  <si>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</si>
  <si>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</si>
  <si>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</si>
  <si>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</si>
  <si>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</si>
  <si>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</si>
  <si>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</si>
  <si>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</si>
  <si>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</si>
  <si>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</si>
  <si>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</si>
  <si>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</si>
  <si>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</si>
  <si>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</si>
  <si>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</si>
  <si>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</si>
  <si>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</si>
  <si>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</si>
  <si>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</si>
  <si>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</si>
  <si>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</si>
  <si>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</si>
  <si>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</si>
  <si>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</si>
  <si>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</si>
  <si>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</si>
  <si>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</si>
  <si>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</si>
  <si>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</si>
  <si>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</si>
  <si>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</si>
  <si>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</si>
  <si>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</si>
  <si>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</si>
  <si>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</si>
  <si>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</si>
  <si>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</si>
  <si>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</si>
  <si>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</si>
  <si>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</si>
  <si>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</si>
  <si>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</si>
  <si>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</si>
  <si>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</si>
  <si>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</si>
  <si>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</si>
  <si>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</si>
  <si>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</si>
  <si>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</si>
  <si>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</si>
  <si>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</si>
  <si>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</si>
  <si>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</si>
  <si>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</si>
  <si>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</si>
  <si>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</si>
  <si>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</si>
  <si>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</si>
  <si>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</si>
  <si>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</si>
  <si>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</si>
  <si>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</si>
  <si>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</si>
  <si>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</si>
  <si>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</si>
  <si>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</si>
  <si>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</si>
  <si>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</si>
  <si>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</si>
  <si>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</si>
  <si>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</si>
  <si>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</si>
  <si>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</si>
  <si>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</si>
  <si>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</si>
  <si>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</si>
  <si>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</si>
  <si>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</si>
  <si>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</si>
  <si>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</si>
  <si>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</si>
  <si>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</si>
  <si>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</si>
  <si>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</si>
  <si>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</si>
  <si>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</si>
  <si>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</si>
  <si>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</si>
  <si>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</si>
  <si>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</si>
  <si>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</si>
  <si>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</si>
  <si>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</si>
  <si>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</si>
  <si>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</si>
  <si>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</si>
  <si>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</si>
  <si>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</si>
  <si>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</si>
  <si>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</si>
  <si>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</si>
  <si>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</si>
  <si>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</si>
  <si>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</si>
  <si>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</si>
  <si>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</si>
  <si>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</si>
  <si>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</si>
  <si>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</si>
  <si>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</si>
  <si>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</si>
  <si>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</si>
  <si>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</si>
  <si>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</si>
  <si>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</si>
  <si>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</si>
  <si>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</si>
  <si>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</si>
  <si>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</si>
  <si>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</si>
  <si>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</si>
  <si>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</si>
  <si>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</si>
  <si>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</si>
  <si>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</si>
  <si>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</si>
  <si>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</si>
  <si>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</si>
  <si>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</si>
  <si>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</si>
  <si>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</si>
  <si>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</si>
  <si>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</si>
  <si>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</si>
  <si>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</si>
  <si>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</si>
  <si>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</si>
  <si>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</si>
  <si>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</si>
  <si>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</si>
  <si>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</si>
  <si>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</si>
  <si>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</si>
  <si>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</si>
  <si>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</si>
  <si>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</si>
  <si>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</si>
  <si>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</si>
  <si>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</si>
  <si>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</si>
  <si>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</si>
  <si>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</si>
  <si>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</si>
  <si>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</si>
  <si>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</si>
  <si>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</si>
  <si>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</si>
  <si>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</si>
  <si>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</si>
  <si>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</si>
  <si>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</si>
  <si>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</si>
  <si>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</si>
  <si>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</si>
  <si>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</si>
  <si>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</si>
  <si>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</si>
  <si>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</si>
  <si>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</si>
  <si>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</si>
  <si>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</si>
  <si>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</si>
  <si>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</si>
  <si>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</si>
  <si>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</si>
  <si>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</si>
  <si>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</si>
  <si>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</si>
  <si>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</si>
  <si>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</si>
  <si>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</si>
  <si>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</si>
  <si>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</si>
  <si>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</si>
  <si>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</si>
  <si>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</si>
  <si>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</si>
  <si>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</si>
  <si>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</si>
  <si>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</si>
  <si>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</si>
  <si>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</si>
  <si>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</si>
  <si>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</si>
  <si>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</si>
  <si>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</si>
  <si>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</si>
  <si>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</si>
  <si>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</si>
  <si>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</si>
  <si>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</si>
  <si>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</si>
  <si>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</si>
  <si>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</si>
  <si>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</si>
  <si>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</si>
  <si>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</si>
  <si>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</si>
  <si>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</si>
  <si>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</si>
  <si>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</si>
  <si>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</si>
  <si>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</si>
  <si>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</si>
  <si>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</si>
  <si>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</si>
  <si>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</si>
  <si>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</si>
  <si>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</si>
  <si>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</si>
  <si>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</si>
  <si>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</si>
  <si>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</si>
  <si>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</si>
  <si>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</si>
  <si>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</si>
  <si>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</si>
  <si>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</si>
  <si>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</si>
  <si>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</si>
  <si>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</si>
  <si>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</si>
  <si>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</si>
  <si>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</si>
  <si>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</si>
  <si>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</si>
  <si>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</si>
  <si>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</si>
  <si>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</si>
  <si>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</si>
  <si>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</si>
  <si>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</si>
  <si>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</si>
  <si>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</si>
  <si>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</si>
  <si>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</si>
  <si>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</si>
  <si>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</si>
  <si>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</si>
  <si>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</si>
  <si>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</si>
  <si>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</si>
  <si>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</si>
  <si>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</si>
  <si>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</si>
  <si>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</si>
  <si>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</si>
  <si>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</si>
  <si>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</si>
  <si>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</si>
  <si>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</si>
  <si>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</si>
  <si>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</si>
  <si>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</si>
  <si>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</si>
  <si>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</si>
  <si>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</si>
  <si>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</si>
  <si>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</si>
  <si>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</si>
  <si>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</si>
  <si>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</si>
  <si>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</si>
  <si>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</si>
  <si>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</si>
  <si>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</si>
  <si>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</si>
  <si>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</si>
  <si>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</si>
  <si>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</si>
  <si>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</si>
  <si>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</si>
  <si>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</si>
  <si>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</si>
  <si>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</si>
  <si>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</si>
  <si>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</si>
  <si>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</si>
  <si>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</si>
  <si>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</si>
  <si>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</si>
  <si>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</si>
  <si>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</si>
  <si>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</si>
  <si>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</si>
  <si>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</si>
  <si>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</si>
  <si>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</si>
  <si>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</si>
  <si>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</si>
  <si>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</si>
  <si>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</si>
  <si>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</si>
  <si>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</si>
  <si>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</si>
  <si>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</si>
  <si>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</si>
  <si>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</si>
  <si>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</si>
  <si>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</si>
  <si>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</si>
  <si>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</si>
  <si>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</si>
  <si>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</si>
  <si>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</si>
  <si>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</si>
  <si>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</si>
  <si>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</si>
  <si>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</si>
  <si>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</si>
  <si>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</si>
  <si>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</si>
  <si>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</si>
  <si>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</si>
  <si>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</si>
  <si>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</si>
  <si>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</si>
  <si>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</si>
  <si>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</si>
  <si>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</si>
  <si>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</si>
  <si>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</si>
  <si>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</si>
  <si>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</si>
  <si>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</si>
  <si>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</si>
  <si>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</si>
  <si>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</si>
  <si>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</si>
  <si>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</si>
  <si>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</si>
  <si>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</si>
  <si>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</si>
  <si>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</si>
  <si>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</si>
  <si>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</si>
  <si>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</si>
  <si>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</si>
  <si>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</si>
  <si>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</si>
  <si>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</si>
  <si>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</si>
  <si>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</si>
  <si>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</si>
  <si>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</si>
  <si>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</si>
  <si>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</si>
  <si>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</si>
  <si>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</si>
  <si>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</si>
  <si>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</si>
  <si>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</si>
  <si>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</si>
  <si>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</si>
  <si>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</si>
  <si>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</si>
  <si>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</si>
  <si>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</si>
  <si>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</si>
  <si>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</si>
  <si>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</si>
  <si>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</si>
  <si>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</si>
  <si>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</si>
  <si>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</si>
  <si>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</si>
  <si>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</si>
  <si>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</si>
  <si>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</si>
  <si>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</si>
  <si>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</si>
  <si>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</si>
  <si>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</si>
  <si>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</si>
  <si>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</si>
  <si>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</si>
  <si>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</si>
  <si>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</si>
  <si>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</si>
  <si>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</si>
  <si>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</si>
  <si>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</si>
  <si>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</si>
  <si>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</si>
  <si>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</si>
  <si>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</si>
  <si>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</si>
  <si>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</si>
  <si>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</si>
  <si>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</si>
  <si>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</si>
  <si>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</si>
  <si>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</si>
  <si>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</si>
  <si>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</si>
  <si>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</si>
  <si>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</si>
  <si>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</si>
  <si>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</si>
  <si>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</si>
  <si>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</si>
  <si>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</si>
  <si>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</si>
  <si>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</si>
  <si>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</si>
  <si>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</si>
  <si>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</si>
  <si>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</si>
  <si>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</si>
  <si>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</si>
  <si>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</si>
  <si>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</si>
  <si>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</si>
  <si>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</si>
  <si>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</si>
  <si>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</si>
  <si>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</si>
  <si>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</si>
  <si>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</si>
  <si>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</si>
  <si>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</si>
  <si>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</si>
  <si>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</si>
  <si>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</si>
  <si>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</si>
  <si>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</si>
  <si>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</si>
  <si>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</si>
  <si>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</si>
  <si>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</si>
  <si>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</si>
  <si>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</si>
  <si>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</si>
  <si>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</si>
  <si>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</si>
  <si>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</si>
  <si>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</si>
  <si>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</si>
  <si>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</si>
  <si>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</si>
  <si>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</si>
  <si>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</si>
  <si>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</si>
  <si>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</si>
  <si>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</si>
  <si>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</si>
  <si>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</si>
  <si>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</si>
  <si>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</si>
  <si>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</si>
  <si>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</si>
  <si>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</si>
  <si>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</si>
  <si>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</si>
  <si>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</si>
  <si>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</si>
  <si>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</si>
  <si>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</si>
  <si>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</si>
  <si>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</si>
  <si>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</si>
  <si>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</si>
  <si>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</si>
  <si>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</si>
  <si>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</si>
  <si>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</si>
  <si>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</si>
  <si>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</si>
  <si>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</si>
  <si>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</si>
  <si>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</si>
  <si>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</si>
  <si>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</si>
  <si>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</si>
  <si>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</si>
  <si>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</si>
  <si>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</si>
  <si>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</si>
  <si>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</si>
  <si>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</si>
  <si>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</si>
  <si>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</si>
  <si>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</si>
  <si>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</si>
  <si>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</si>
  <si>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</si>
  <si>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</si>
  <si>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</si>
  <si>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</si>
  <si>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</si>
  <si>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</si>
  <si>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</si>
  <si>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</si>
  <si>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</si>
  <si>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</si>
  <si>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</si>
  <si>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</si>
  <si>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</si>
  <si>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</si>
  <si>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</si>
  <si>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</si>
  <si>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</si>
  <si>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</si>
  <si>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</si>
  <si>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</si>
  <si>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</si>
  <si>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</si>
  <si>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</si>
  <si>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</si>
  <si>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</si>
  <si>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</si>
  <si>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</si>
  <si>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</si>
  <si>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</si>
  <si>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</si>
  <si>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</si>
  <si>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</si>
  <si>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</si>
  <si>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</si>
  <si>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</si>
  <si>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</si>
  <si>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</si>
  <si>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</si>
  <si>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</si>
  <si>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</si>
  <si>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</si>
  <si>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</si>
  <si>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</si>
  <si>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</si>
  <si>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</si>
  <si>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</si>
  <si>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</si>
  <si>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</si>
  <si>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</si>
  <si>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</si>
  <si>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</si>
  <si>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</si>
  <si>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</si>
  <si>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</si>
  <si>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</si>
  <si>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</si>
  <si>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</si>
  <si>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</si>
  <si>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</si>
  <si>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</si>
  <si>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</si>
  <si>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</si>
  <si>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</si>
  <si>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</si>
  <si>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</si>
  <si>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</si>
  <si>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</si>
  <si>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</si>
  <si>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</si>
  <si>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</si>
  <si>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</si>
  <si>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</si>
  <si>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</si>
  <si>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</si>
  <si>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</si>
  <si>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</si>
  <si>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</si>
  <si>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</si>
  <si>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</si>
  <si>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</si>
  <si>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</si>
  <si>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</si>
  <si>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</si>
  <si>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</si>
  <si>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</si>
  <si>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</si>
  <si>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</si>
  <si>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</si>
  <si>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</si>
  <si>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</si>
  <si>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</si>
  <si>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</si>
  <si>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</si>
  <si>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</si>
  <si>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</si>
  <si>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</si>
  <si>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</si>
  <si>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</si>
  <si>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</si>
  <si>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</si>
  <si>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</si>
  <si>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</si>
  <si>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</si>
  <si>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</si>
  <si>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</si>
  <si>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</si>
  <si>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</si>
  <si>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</si>
  <si>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</si>
  <si>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</si>
  <si>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</si>
  <si>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</si>
  <si>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</si>
  <si>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</si>
  <si>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</si>
  <si>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</si>
  <si>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</si>
  <si>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</si>
  <si>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</si>
  <si>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</si>
  <si>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</si>
  <si>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</si>
  <si>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</si>
  <si>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</si>
  <si>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</si>
  <si>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</si>
  <si>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</si>
  <si>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</si>
  <si>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</si>
  <si>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</si>
  <si>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</si>
  <si>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</si>
  <si>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</si>
  <si>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</si>
  <si>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</si>
  <si>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</si>
  <si>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</si>
  <si>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</si>
  <si>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</si>
  <si>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</si>
  <si>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</si>
  <si>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</si>
  <si>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</si>
  <si>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</si>
  <si>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</si>
  <si>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</si>
  <si>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</si>
  <si>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</si>
  <si>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</si>
  <si>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</si>
  <si>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</si>
  <si>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</si>
  <si>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</si>
  <si>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</si>
  <si>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</si>
  <si>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</si>
  <si>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</si>
  <si>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</si>
  <si>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</si>
  <si>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</si>
  <si>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</si>
  <si>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</si>
  <si>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</si>
  <si>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</si>
  <si>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</si>
  <si>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</si>
  <si>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</si>
  <si>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</si>
  <si>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</si>
  <si>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</si>
  <si>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</si>
  <si>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</si>
  <si>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</si>
  <si>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</si>
  <si>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</si>
  <si>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</si>
  <si>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</si>
  <si>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</si>
  <si>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</si>
  <si>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</si>
  <si>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</si>
  <si>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</si>
  <si>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</si>
  <si>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</si>
  <si>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</si>
  <si>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</si>
  <si>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</si>
  <si>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</si>
  <si>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</si>
  <si>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</si>
  <si>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</si>
  <si>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</si>
  <si>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</si>
  <si>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</si>
  <si>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</si>
  <si>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</si>
  <si>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</si>
  <si>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</si>
  <si>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</si>
  <si>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</si>
  <si>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</si>
  <si>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</si>
  <si>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</si>
  <si>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</si>
  <si>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</si>
  <si>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</si>
  <si>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</si>
  <si>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</si>
  <si>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</si>
  <si>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</si>
  <si>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</si>
  <si>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</si>
  <si>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</si>
  <si>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</si>
  <si>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</si>
  <si>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</si>
  <si>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</si>
  <si>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</si>
  <si>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</si>
  <si>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</si>
  <si>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</si>
  <si>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</si>
  <si>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</si>
  <si>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</si>
  <si>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</si>
  <si>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</si>
  <si>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</si>
  <si>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</si>
  <si>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</si>
  <si>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</si>
  <si>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</si>
  <si>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</si>
  <si>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</si>
  <si>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</si>
  <si>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</si>
  <si>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</si>
  <si>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</si>
  <si>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</si>
  <si>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</si>
  <si>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</si>
  <si>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</si>
  <si>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</si>
  <si>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</si>
  <si>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</si>
  <si>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</si>
  <si>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</si>
  <si>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</si>
  <si>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</si>
  <si>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</si>
  <si>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</si>
  <si>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</si>
  <si>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</si>
  <si>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</si>
  <si>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</si>
  <si>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</si>
  <si>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</si>
  <si>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</si>
  <si>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</si>
  <si>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</si>
  <si>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</si>
  <si>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</si>
  <si>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</si>
  <si>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</si>
  <si>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</si>
  <si>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</si>
  <si>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</si>
  <si>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</si>
  <si>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</si>
  <si>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</si>
  <si>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</si>
  <si>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</si>
  <si>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</si>
  <si>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</si>
  <si>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</si>
  <si>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</si>
  <si>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</si>
  <si>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</si>
  <si>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</si>
  <si>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</si>
  <si>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</si>
  <si>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</si>
  <si>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</si>
  <si>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</si>
  <si>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</si>
  <si>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</si>
  <si>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</si>
  <si>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</si>
  <si>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</si>
  <si>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</si>
  <si>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</si>
  <si>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</si>
  <si>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</si>
  <si>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</si>
  <si>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</si>
  <si>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</si>
  <si>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</si>
  <si>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</si>
  <si>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</si>
  <si>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</si>
  <si>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</si>
  <si>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</si>
  <si>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</si>
  <si>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</si>
  <si>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</si>
  <si>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</si>
  <si>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</si>
  <si>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</si>
  <si>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</si>
  <si>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</si>
  <si>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</si>
  <si>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</si>
  <si>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</si>
  <si>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</si>
  <si>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</si>
  <si>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</si>
  <si>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</si>
  <si>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</si>
  <si>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</si>
  <si>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</si>
  <si>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</si>
  <si>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</si>
  <si>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</si>
  <si>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</si>
  <si>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</si>
  <si>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</si>
  <si>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</si>
  <si>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</si>
  <si>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</si>
  <si>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</si>
  <si>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</si>
  <si>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</si>
  <si>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</si>
  <si>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</si>
  <si>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</si>
  <si>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</si>
  <si>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</si>
  <si>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</si>
  <si>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</si>
  <si>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</si>
  <si>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</si>
  <si>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</si>
  <si>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</si>
  <si>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</si>
  <si>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</si>
  <si>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</si>
  <si>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</si>
  <si>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</si>
  <si>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</si>
  <si>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</si>
  <si>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</si>
  <si>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</si>
  <si>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</si>
  <si>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</si>
  <si>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</si>
  <si>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</si>
  <si>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</si>
  <si>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</si>
  <si>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</si>
  <si>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</si>
  <si>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</si>
  <si>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</si>
  <si>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</si>
  <si>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</si>
  <si>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</si>
  <si>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</si>
  <si>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</si>
  <si>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</si>
  <si>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</si>
  <si>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</si>
  <si>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</si>
  <si>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</si>
  <si>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</si>
  <si>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</si>
  <si>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</si>
  <si>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</si>
  <si>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</si>
  <si>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</si>
  <si>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</si>
  <si>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</si>
  <si>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</si>
  <si>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</si>
  <si>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</si>
  <si>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</si>
  <si>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</si>
  <si>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</si>
  <si>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</si>
  <si>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</si>
  <si>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</si>
  <si>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</si>
  <si>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</si>
  <si>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</si>
  <si>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</si>
  <si>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</si>
  <si>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</si>
  <si>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</si>
  <si>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</si>
  <si>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</si>
  <si>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</si>
  <si>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</si>
  <si>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</si>
  <si>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</si>
  <si>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</si>
  <si>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</si>
  <si>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</si>
  <si>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</si>
  <si>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</si>
  <si>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</si>
  <si>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</si>
  <si>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</si>
  <si>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</si>
  <si>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</si>
  <si>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</si>
  <si>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</si>
  <si>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</si>
  <si>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</si>
  <si>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</si>
  <si>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</si>
  <si>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</si>
  <si>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</si>
  <si>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</si>
  <si>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</si>
  <si>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</si>
  <si>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</si>
  <si>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</si>
  <si>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</si>
  <si>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</si>
  <si>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</si>
  <si>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</si>
  <si>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</si>
  <si>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</si>
  <si>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</si>
  <si>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</si>
  <si>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</si>
  <si>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</si>
  <si>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</si>
  <si>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</si>
  <si>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</si>
  <si>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</si>
  <si>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</si>
  <si>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</si>
  <si>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</si>
  <si>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</si>
  <si>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</si>
  <si>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</si>
  <si>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</si>
  <si>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</si>
  <si>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</si>
  <si>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</si>
  <si>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</si>
  <si>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</si>
  <si>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</si>
  <si>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</si>
  <si>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</si>
  <si>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</si>
  <si>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</si>
  <si>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</si>
  <si>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</si>
  <si>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</si>
  <si>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</si>
  <si>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</si>
  <si>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</si>
  <si>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</si>
  <si>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</si>
  <si>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</si>
  <si>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</si>
  <si>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</si>
  <si>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</si>
  <si>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</si>
  <si>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</si>
  <si>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</si>
  <si>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</si>
  <si>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</si>
  <si>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</si>
  <si>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</si>
  <si>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</si>
  <si>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</si>
  <si>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</si>
  <si>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</si>
  <si>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</si>
  <si>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</si>
  <si>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</si>
  <si>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</si>
  <si>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</si>
  <si>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</si>
  <si>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</si>
  <si>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</si>
  <si>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</si>
  <si>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</si>
  <si>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</si>
  <si>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</si>
  <si>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</si>
  <si>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</si>
  <si>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</si>
  <si>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</si>
  <si>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</si>
  <si>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</si>
  <si>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</si>
  <si>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</si>
  <si>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</si>
  <si>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</si>
  <si>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</si>
  <si>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</si>
  <si>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</si>
  <si>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</si>
  <si>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</si>
  <si>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</si>
  <si>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</si>
  <si>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</si>
  <si>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</si>
  <si>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</si>
  <si>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</si>
  <si>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</si>
  <si>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</si>
  <si>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</si>
  <si>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</si>
  <si>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</si>
  <si>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</si>
  <si>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</si>
  <si>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</si>
  <si>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</si>
  <si>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</si>
  <si>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</si>
  <si>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</si>
  <si>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</si>
  <si>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</si>
  <si>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</si>
  <si>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</si>
  <si>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</si>
  <si>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</si>
  <si>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</si>
  <si>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</si>
  <si>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</si>
  <si>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</si>
  <si>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</si>
  <si>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</si>
  <si>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</si>
  <si>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</si>
  <si>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</si>
  <si>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</si>
  <si>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</si>
  <si>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</si>
  <si>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</si>
  <si>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</si>
  <si>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</si>
  <si>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</si>
  <si>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</si>
  <si>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</si>
  <si>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</si>
  <si>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</si>
  <si>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</si>
  <si>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</si>
  <si>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</si>
  <si>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</si>
  <si>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</si>
  <si>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</si>
  <si>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</si>
  <si>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</si>
  <si>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</si>
  <si>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</si>
  <si>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</si>
  <si>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</si>
  <si>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</si>
  <si>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</si>
  <si>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</si>
  <si>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</si>
  <si>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</si>
  <si>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</si>
  <si>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</si>
  <si>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</si>
  <si>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</si>
  <si>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</si>
  <si>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</si>
  <si>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</si>
  <si>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</si>
  <si>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</si>
  <si>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</si>
  <si>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</si>
  <si>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</si>
  <si>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</si>
  <si>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</si>
  <si>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</si>
  <si>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</si>
  <si>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</si>
  <si>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</si>
  <si>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</si>
  <si>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</si>
  <si>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</si>
  <si>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</si>
  <si>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</si>
  <si>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</si>
  <si>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</si>
  <si>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</si>
  <si>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</si>
  <si>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</si>
  <si>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</si>
  <si>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</si>
  <si>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</si>
  <si>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</si>
  <si>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</si>
  <si>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</si>
  <si>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</si>
  <si>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</si>
  <si>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</si>
  <si>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</si>
  <si>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</si>
  <si>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</si>
  <si>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</si>
  <si>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</si>
  <si>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</si>
  <si>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</si>
  <si>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</si>
  <si>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</si>
  <si>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</si>
  <si>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</si>
  <si>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</si>
  <si>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</si>
  <si>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</si>
  <si>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</si>
  <si>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</si>
  <si>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</si>
  <si>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</si>
  <si>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</si>
  <si>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</si>
  <si>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</si>
  <si>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</si>
  <si>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</si>
  <si>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</si>
  <si>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</si>
  <si>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</si>
  <si>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</si>
  <si>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</si>
  <si>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</si>
  <si>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</si>
  <si>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</si>
  <si>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</si>
  <si>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</si>
  <si>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</si>
  <si>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</si>
  <si>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</si>
  <si>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</si>
  <si>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</si>
  <si>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</si>
  <si>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</si>
  <si>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</si>
  <si>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</si>
  <si>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</si>
  <si>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</si>
  <si>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</si>
  <si>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</si>
  <si>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</si>
  <si>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</si>
  <si>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</si>
  <si>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</si>
  <si>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</si>
  <si>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</si>
  <si>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</si>
  <si>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</si>
  <si>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</si>
  <si>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</si>
  <si>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</si>
  <si>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</si>
  <si>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</si>
  <si>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</si>
  <si>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</si>
  <si>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</si>
  <si>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</si>
  <si>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</si>
  <si>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</si>
  <si>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</si>
  <si>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</si>
  <si>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</si>
  <si>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</si>
  <si>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</si>
  <si>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</si>
  <si>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</si>
  <si>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</si>
  <si>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</si>
  <si>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</si>
  <si>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</si>
  <si>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</si>
  <si>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</si>
  <si>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</si>
  <si>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</si>
  <si>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</si>
  <si>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</si>
  <si>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</si>
  <si>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</si>
  <si>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</si>
  <si>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</si>
  <si>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</si>
  <si>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</si>
  <si>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</si>
  <si>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</si>
  <si>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</si>
  <si>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</si>
  <si>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</si>
  <si>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</si>
  <si>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</si>
  <si>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</si>
  <si>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</si>
  <si>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</si>
  <si>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</si>
  <si>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</si>
  <si>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</si>
  <si>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</si>
  <si>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</si>
  <si>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</si>
  <si>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</si>
  <si>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</si>
  <si>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</si>
  <si>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</si>
  <si>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</si>
  <si>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</si>
  <si>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</si>
  <si>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</si>
  <si>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</si>
  <si>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</si>
  <si>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</si>
  <si>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</si>
  <si>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</si>
  <si>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</si>
  <si>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</si>
  <si>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</si>
  <si>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</si>
  <si>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</si>
  <si>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</si>
  <si>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</si>
  <si>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</si>
  <si>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</si>
  <si>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</si>
  <si>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</si>
  <si>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</si>
  <si>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</si>
  <si>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</si>
  <si>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</si>
  <si>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</si>
  <si>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</si>
  <si>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</si>
  <si>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</si>
  <si>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</si>
  <si>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</si>
  <si>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</si>
  <si>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</si>
  <si>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</si>
  <si>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</si>
  <si>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</si>
  <si>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</si>
  <si>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</si>
  <si>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</si>
  <si>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</si>
  <si>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</si>
  <si>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</si>
  <si>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</si>
  <si>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</si>
  <si>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</si>
  <si>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</si>
  <si>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</si>
  <si>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</si>
  <si>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</si>
  <si>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</si>
  <si>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</si>
  <si>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</si>
  <si>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</si>
  <si>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</si>
  <si>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</si>
  <si>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</si>
  <si>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</si>
  <si>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</si>
  <si>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</si>
  <si>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</si>
  <si>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</si>
  <si>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</si>
  <si>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</si>
  <si>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</si>
  <si>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</si>
  <si>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</si>
  <si>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</si>
  <si>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</si>
  <si>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</si>
  <si>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</si>
  <si>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</si>
  <si>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</si>
  <si>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</si>
  <si>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</si>
  <si>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</si>
  <si>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</si>
  <si>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</si>
  <si>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</si>
  <si>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</si>
  <si>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</si>
  <si>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</si>
  <si>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</si>
  <si>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</si>
  <si>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</si>
  <si>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</si>
  <si>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</si>
  <si>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</si>
  <si>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</si>
  <si>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</si>
  <si>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</si>
  <si>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</si>
  <si>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</si>
  <si>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</si>
  <si>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</si>
  <si>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</si>
  <si>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</si>
  <si>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</si>
  <si>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</si>
  <si>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</si>
  <si>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</si>
  <si>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</si>
  <si>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</si>
  <si>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</si>
  <si>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</si>
  <si>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</si>
  <si>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</si>
  <si>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</si>
  <si>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</si>
  <si>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</si>
  <si>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</si>
  <si>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</si>
  <si>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</si>
  <si>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</si>
  <si>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</si>
  <si>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</si>
  <si>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</si>
  <si>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</si>
  <si>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</si>
  <si>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</si>
  <si>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</si>
  <si>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</si>
  <si>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</si>
  <si>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</si>
  <si>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</si>
  <si>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</si>
  <si>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</si>
  <si>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</si>
  <si>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</si>
  <si>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</si>
  <si>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</si>
  <si>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</si>
  <si>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</si>
  <si>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</si>
  <si>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</si>
  <si>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</si>
  <si>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</si>
  <si>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</si>
  <si>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</si>
  <si>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</si>
  <si>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</si>
  <si>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</si>
  <si>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</si>
  <si>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</si>
  <si>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</si>
  <si>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</si>
  <si>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</si>
  <si>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</si>
  <si>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</si>
  <si>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</si>
  <si>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</si>
  <si>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</si>
  <si>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</si>
  <si>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</si>
  <si>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</si>
  <si>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</si>
  <si>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</si>
  <si>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</si>
  <si>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</si>
  <si>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</si>
  <si>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</si>
  <si>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</si>
  <si>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</si>
  <si>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</si>
  <si>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</si>
  <si>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</si>
  <si>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</si>
  <si>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</si>
  <si>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</si>
  <si>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</si>
  <si>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</si>
  <si>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</si>
  <si>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</si>
  <si>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</si>
  <si>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</si>
  <si>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</si>
  <si>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</si>
  <si>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</si>
  <si>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</si>
  <si>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</si>
  <si>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</si>
  <si>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</si>
  <si>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</si>
  <si>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</si>
  <si>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</si>
  <si>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</si>
  <si>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</si>
  <si>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</si>
  <si>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</si>
  <si>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</si>
  <si>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</si>
  <si>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</si>
  <si>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</si>
  <si>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</si>
  <si>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</si>
  <si>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</si>
  <si>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</si>
  <si>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</si>
  <si>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</si>
  <si>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</si>
  <si>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</si>
  <si>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</si>
  <si>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</si>
  <si>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</si>
  <si>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</si>
  <si>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</si>
  <si>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</si>
  <si>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</si>
  <si>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</si>
  <si>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</si>
  <si>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</si>
  <si>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</si>
  <si>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</si>
  <si>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</si>
  <si>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</si>
  <si>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</si>
  <si>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</si>
  <si>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</si>
  <si>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</si>
  <si>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</si>
  <si>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</si>
  <si>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</si>
  <si>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</si>
  <si>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</si>
  <si>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</si>
  <si>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</si>
  <si>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</si>
  <si>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</si>
  <si>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</si>
  <si>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</si>
  <si>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</si>
  <si>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</si>
  <si>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</si>
  <si>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</si>
  <si>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</si>
  <si>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</si>
  <si>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</si>
  <si>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</si>
  <si>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</si>
  <si>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</si>
  <si>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</si>
  <si>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</si>
  <si>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</si>
  <si>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</si>
  <si>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</si>
  <si>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</si>
  <si>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</si>
  <si>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</si>
  <si>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</si>
  <si>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</si>
  <si>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</si>
  <si>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</si>
  <si>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</si>
  <si>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</si>
  <si>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</si>
  <si>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</si>
  <si>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</si>
  <si>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</si>
  <si>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</si>
  <si>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</si>
  <si>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</si>
  <si>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</si>
  <si>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</si>
  <si>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</si>
  <si>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</si>
  <si>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</si>
  <si>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</si>
  <si>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</si>
  <si>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</si>
  <si>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</si>
  <si>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</si>
  <si>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</si>
  <si>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</si>
  <si>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</si>
  <si>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</si>
  <si>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</si>
  <si>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</si>
  <si>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</si>
  <si>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</si>
  <si>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</si>
  <si>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</si>
  <si>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</si>
  <si>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</si>
  <si>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</si>
  <si>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</si>
  <si>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</si>
  <si>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</si>
  <si>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</si>
  <si>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</si>
  <si>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</si>
  <si>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</si>
  <si>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</si>
  <si>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</si>
  <si>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</si>
  <si>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</si>
  <si>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</si>
  <si>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</si>
  <si>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</si>
  <si>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</si>
  <si>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</si>
  <si>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</si>
  <si>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</si>
  <si>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</si>
  <si>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</si>
  <si>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</si>
  <si>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</si>
  <si>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</si>
  <si>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</si>
  <si>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</si>
  <si>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</si>
  <si>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</si>
  <si>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</si>
  <si>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</si>
  <si>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</si>
  <si>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</si>
  <si>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</si>
  <si>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</si>
  <si>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</si>
  <si>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</si>
  <si>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</si>
  <si>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</si>
  <si>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</si>
  <si>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</si>
  <si>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</si>
  <si>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</si>
  <si>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</si>
  <si>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</si>
  <si>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</si>
  <si>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</si>
  <si>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</si>
  <si>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</si>
  <si>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</si>
  <si>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</si>
  <si>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</si>
  <si>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</si>
  <si>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</si>
  <si>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</si>
  <si>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</si>
  <si>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</si>
  <si>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</si>
  <si>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</si>
  <si>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</si>
  <si>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</si>
  <si>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</si>
  <si>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</si>
  <si>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</si>
  <si>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</si>
  <si>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</si>
  <si>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</si>
  <si>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</si>
  <si>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</si>
  <si>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</si>
  <si>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</si>
  <si>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</si>
  <si>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</si>
  <si>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</si>
  <si>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</si>
  <si>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</si>
  <si>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</si>
  <si>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</si>
  <si>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</si>
  <si>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</si>
  <si>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</si>
  <si>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</si>
  <si>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</si>
  <si>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</si>
  <si>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</si>
  <si>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</si>
  <si>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</si>
  <si>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</si>
  <si>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</si>
  <si>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</si>
  <si>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</si>
  <si>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</si>
  <si>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</si>
  <si>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</si>
  <si>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</si>
  <si>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</si>
  <si>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</si>
  <si>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</si>
  <si>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</si>
  <si>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</si>
  <si>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</si>
  <si>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</si>
  <si>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</si>
  <si>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</si>
  <si>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</si>
  <si>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</si>
  <si>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</si>
  <si>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</si>
  <si>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</si>
  <si>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</si>
  <si>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</si>
  <si>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</si>
  <si>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</si>
  <si>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</si>
  <si>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</si>
  <si>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</si>
  <si>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</si>
  <si>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</si>
  <si>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</si>
  <si>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</si>
  <si>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</si>
  <si>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</si>
  <si>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</si>
  <si>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</si>
  <si>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</si>
  <si>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</si>
  <si>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</si>
  <si>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</si>
  <si>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</si>
  <si>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</si>
  <si>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</si>
  <si>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</si>
  <si>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</si>
  <si>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</si>
  <si>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</si>
  <si>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</si>
  <si>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</si>
  <si>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</si>
  <si>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</si>
  <si>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</si>
  <si>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</si>
  <si>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</si>
  <si>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</si>
  <si>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</si>
  <si>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</si>
  <si>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</si>
  <si>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</si>
  <si>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</si>
  <si>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</si>
  <si>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</si>
  <si>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</si>
  <si>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</si>
  <si>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</si>
  <si>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</si>
  <si>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</si>
  <si>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</si>
  <si>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</si>
  <si>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</si>
  <si>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</si>
  <si>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</si>
  <si>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</si>
  <si>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</si>
  <si>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</si>
  <si>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</si>
  <si>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</si>
  <si>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</si>
  <si>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</si>
  <si>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</si>
  <si>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</si>
  <si>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</si>
  <si>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</si>
  <si>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</si>
  <si>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</si>
  <si>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</si>
  <si>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</si>
  <si>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</si>
  <si>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</si>
  <si>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</si>
  <si>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</si>
  <si>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</si>
  <si>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</si>
  <si>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</si>
  <si>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</si>
  <si>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</si>
  <si>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</si>
  <si>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</si>
  <si>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</si>
  <si>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</si>
  <si>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</si>
  <si>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</si>
  <si>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</si>
  <si>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</si>
  <si>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</si>
  <si>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</si>
  <si>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</si>
  <si>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</si>
  <si>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</si>
  <si>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</si>
  <si>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</si>
  <si>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</si>
  <si>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</si>
  <si>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</si>
  <si>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</si>
  <si>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</si>
  <si>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</si>
  <si>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</si>
  <si>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</si>
  <si>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</si>
  <si>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</si>
  <si>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</si>
  <si>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</si>
  <si>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</si>
  <si>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</si>
  <si>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</si>
  <si>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</si>
  <si>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</si>
  <si>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</si>
  <si>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</si>
  <si>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</si>
  <si>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</si>
  <si>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</si>
  <si>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</si>
  <si>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</si>
  <si>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</si>
  <si>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</si>
  <si>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</si>
  <si>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</si>
  <si>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</si>
  <si>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</si>
  <si>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</si>
  <si>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</si>
  <si>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</si>
  <si>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</si>
  <si>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</si>
  <si>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</si>
  <si>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</si>
  <si>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</si>
  <si>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</si>
  <si>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</si>
  <si>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</si>
  <si>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</si>
  <si>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</si>
  <si>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</si>
  <si>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</si>
  <si>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</si>
  <si>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</si>
  <si>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</si>
  <si>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</si>
  <si>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</si>
  <si>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</si>
  <si>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</si>
  <si>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</si>
  <si>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</si>
  <si>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</si>
  <si>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</si>
  <si>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</si>
  <si>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</si>
  <si>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</si>
  <si>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</si>
  <si>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</si>
  <si>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</si>
  <si>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</si>
  <si>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</si>
  <si>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</si>
  <si>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</si>
  <si>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</si>
  <si>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</si>
  <si>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</si>
  <si>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</si>
  <si>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</si>
  <si>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</si>
  <si>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</si>
  <si>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</si>
  <si>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</si>
  <si>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</si>
  <si>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</si>
  <si>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</si>
  <si>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</si>
  <si>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</si>
  <si>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</si>
  <si>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</si>
  <si>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</si>
  <si>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</si>
  <si>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</si>
  <si>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</si>
  <si>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</si>
  <si>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</si>
  <si>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</si>
  <si>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</si>
  <si>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</si>
  <si>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</si>
  <si>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</si>
  <si>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</si>
  <si>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</si>
  <si>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</si>
  <si>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</si>
  <si>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</si>
  <si>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</si>
  <si>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</si>
  <si>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</si>
  <si>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</si>
  <si>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</si>
  <si>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</si>
  <si>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</si>
  <si>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</si>
  <si>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</si>
  <si>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</si>
  <si>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</si>
  <si>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</si>
  <si>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</si>
  <si>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</si>
  <si>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</si>
  <si>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</si>
  <si>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</si>
  <si>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</si>
  <si>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</si>
  <si>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</si>
  <si>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</si>
  <si>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</si>
  <si>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</si>
  <si>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</si>
  <si>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</si>
  <si>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</si>
  <si>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</si>
  <si>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</si>
  <si>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</si>
  <si>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</si>
  <si>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</si>
  <si>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</si>
  <si>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</si>
  <si>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</si>
  <si>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</si>
  <si>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</si>
  <si>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</si>
  <si>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</si>
  <si>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</si>
  <si>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</si>
  <si>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</si>
  <si>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</si>
  <si>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</si>
  <si>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</si>
  <si>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</si>
  <si>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</si>
  <si>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</si>
  <si>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</si>
  <si>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</si>
  <si>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</si>
  <si>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</si>
  <si>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</si>
  <si>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</si>
  <si>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</si>
  <si>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</si>
  <si>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</si>
  <si>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</si>
  <si>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</si>
  <si>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</si>
  <si>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</si>
  <si>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</si>
  <si>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</si>
  <si>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</si>
  <si>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</si>
  <si>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</si>
  <si>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</si>
  <si>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</si>
  <si>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</si>
  <si>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</si>
  <si>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</si>
  <si>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</si>
  <si>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</si>
  <si>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</si>
  <si>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</si>
  <si>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</si>
  <si>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</si>
  <si>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</si>
  <si>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</si>
  <si>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</si>
  <si>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</si>
  <si>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</si>
  <si>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</si>
  <si>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</si>
  <si>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</si>
  <si>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</si>
  <si>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</si>
  <si>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</si>
  <si>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</si>
  <si>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</si>
  <si>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</si>
  <si>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</si>
  <si>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</si>
  <si>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</si>
  <si>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</si>
  <si>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</si>
  <si>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</si>
  <si>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</si>
  <si>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</si>
  <si>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</si>
  <si>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</si>
  <si>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</si>
  <si>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</si>
  <si>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</si>
  <si>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</si>
  <si>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</si>
  <si>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</si>
  <si>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</si>
  <si>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</si>
  <si>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</si>
  <si>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</si>
  <si>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</si>
  <si>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</si>
  <si>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</si>
  <si>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</si>
  <si>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</si>
  <si>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</si>
  <si>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</si>
  <si>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</si>
  <si>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</si>
  <si>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</si>
  <si>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</si>
  <si>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</si>
  <si>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</si>
  <si>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</si>
  <si>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</si>
  <si>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</si>
  <si>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</si>
  <si>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</si>
  <si>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</si>
  <si>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</si>
  <si>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</si>
  <si>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</si>
  <si>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</si>
  <si>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</si>
  <si>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</si>
  <si>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</si>
  <si>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</si>
  <si>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</si>
  <si>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</si>
  <si>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</si>
  <si>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</si>
  <si>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</si>
  <si>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</si>
  <si>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</si>
  <si>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</si>
  <si>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</si>
  <si>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</si>
  <si>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</si>
  <si>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</si>
  <si>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</si>
  <si>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</si>
  <si>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</si>
  <si>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</si>
  <si>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</si>
  <si>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</si>
  <si>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</si>
  <si>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</si>
  <si>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</si>
  <si>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</si>
  <si>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</si>
  <si>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</si>
  <si>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</si>
  <si>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</si>
  <si>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</si>
  <si>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</si>
  <si>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</si>
  <si>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</si>
  <si>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</si>
  <si>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</si>
  <si>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</si>
  <si>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</si>
  <si>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</si>
  <si>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</si>
  <si>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</si>
  <si>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</si>
  <si>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</si>
  <si>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</si>
  <si>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</si>
  <si>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</si>
  <si>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</si>
  <si>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</si>
  <si>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</si>
  <si>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</si>
  <si>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</si>
  <si>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</si>
  <si>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</si>
  <si>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</si>
  <si>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</si>
  <si>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</si>
  <si>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</si>
  <si>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</si>
  <si>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</si>
  <si>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</si>
  <si>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</si>
  <si>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</si>
  <si>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</si>
  <si>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</si>
  <si>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</si>
  <si>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</si>
  <si>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</si>
  <si>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</si>
  <si>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</si>
  <si>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</si>
  <si>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</si>
  <si>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</si>
  <si>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</si>
  <si>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</si>
  <si>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</si>
  <si>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</si>
  <si>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</si>
  <si>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</si>
  <si>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</si>
  <si>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</si>
  <si>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</si>
  <si>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</si>
  <si>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</si>
  <si>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</si>
  <si>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</si>
  <si>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</si>
  <si>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</si>
  <si>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</si>
  <si>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</si>
  <si>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</si>
  <si>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</si>
  <si>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</si>
  <si>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</si>
  <si>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</si>
  <si>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</si>
  <si>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</si>
  <si>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</si>
  <si>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</si>
  <si>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</si>
  <si>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</si>
  <si>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</si>
  <si>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</si>
  <si>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</si>
  <si>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</si>
  <si>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</si>
  <si>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</si>
  <si>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</si>
  <si>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</si>
  <si>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</si>
  <si>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</si>
  <si>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</si>
  <si>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</si>
  <si>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</si>
  <si>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</si>
  <si>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</si>
  <si>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</si>
  <si>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</si>
  <si>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</si>
  <si>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</si>
  <si>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</si>
  <si>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</si>
  <si>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</si>
  <si>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</si>
  <si>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</si>
  <si>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</si>
  <si>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</si>
  <si>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</si>
  <si>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</si>
  <si>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</si>
  <si>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</si>
  <si>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</si>
  <si>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</si>
  <si>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</si>
  <si>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</si>
  <si>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</si>
  <si>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</si>
  <si>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</si>
  <si>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</si>
  <si>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</si>
  <si>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</si>
  <si>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</si>
  <si>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</si>
  <si>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</si>
  <si>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</si>
  <si>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</si>
  <si>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</si>
  <si>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</si>
  <si>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</si>
  <si>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</si>
  <si>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</si>
  <si>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</si>
  <si>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</si>
  <si>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</si>
  <si>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</si>
  <si>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</si>
  <si>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</si>
  <si>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</si>
  <si>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</si>
  <si>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</si>
  <si>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</si>
  <si>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</si>
  <si>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</si>
  <si>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</si>
  <si>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</si>
  <si>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</si>
  <si>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</si>
  <si>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</si>
  <si>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</si>
  <si>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</si>
  <si>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</si>
  <si>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</si>
  <si>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</si>
  <si>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</si>
  <si>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</si>
  <si>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</si>
  <si>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</si>
  <si>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</si>
  <si>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</si>
  <si>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</si>
  <si>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</si>
  <si>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</si>
  <si>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</si>
  <si>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</si>
  <si>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</si>
  <si>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</si>
  <si>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</si>
  <si>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</si>
  <si>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</si>
  <si>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</si>
  <si>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</si>
  <si>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</si>
  <si>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</si>
  <si>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</si>
  <si>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</si>
  <si>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</si>
  <si>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</si>
  <si>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</si>
  <si>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</si>
  <si>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</si>
  <si>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</si>
  <si>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</si>
  <si>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</si>
  <si>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</si>
  <si>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</si>
  <si>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</si>
  <si>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</si>
  <si>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</si>
  <si>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</si>
  <si>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</si>
  <si>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</si>
  <si>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</si>
  <si>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</si>
  <si>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</si>
  <si>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</si>
  <si>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</si>
  <si>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</si>
  <si>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</si>
  <si>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</si>
  <si>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</si>
  <si>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</si>
  <si>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</si>
  <si>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</si>
  <si>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</si>
  <si>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</si>
  <si>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</si>
  <si>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</si>
  <si>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</si>
  <si>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</si>
  <si>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</si>
  <si>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</si>
  <si>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</si>
  <si>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</si>
  <si>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</si>
  <si>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</si>
  <si>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</si>
  <si>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</si>
  <si>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</si>
  <si>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</si>
  <si>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</si>
  <si>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</si>
  <si>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</si>
  <si>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</si>
  <si>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</si>
  <si>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</si>
  <si>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</si>
  <si>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</si>
  <si>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</si>
  <si>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</si>
  <si>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</si>
  <si>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</si>
  <si>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</si>
  <si>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</si>
  <si>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</si>
  <si>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</si>
  <si>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</si>
  <si>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</si>
  <si>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</si>
  <si>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</si>
  <si>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</si>
  <si>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</si>
  <si>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</si>
  <si>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</si>
  <si>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</si>
  <si>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</si>
  <si>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</si>
  <si>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</si>
  <si>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</si>
  <si>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</si>
  <si>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</si>
  <si>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</si>
  <si>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</si>
  <si>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</si>
  <si>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</si>
  <si>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</si>
  <si>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</si>
  <si>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</si>
  <si>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</si>
  <si>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</si>
  <si>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</si>
  <si>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</si>
  <si>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</si>
  <si>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</si>
  <si>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</si>
  <si>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</si>
  <si>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</si>
  <si>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</si>
  <si>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</si>
  <si>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</si>
  <si>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</si>
  <si>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</si>
  <si>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</si>
  <si>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</si>
  <si>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</si>
  <si>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</si>
  <si>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</si>
  <si>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</si>
  <si>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</si>
  <si>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</si>
  <si>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</si>
  <si>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</si>
  <si>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</si>
  <si>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</si>
  <si>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</si>
  <si>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</si>
  <si>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</si>
  <si>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</si>
  <si>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</si>
  <si>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</si>
  <si>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</si>
  <si>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</si>
  <si>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</si>
  <si>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</si>
  <si>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</si>
  <si>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</si>
  <si>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</si>
  <si>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</si>
  <si>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</si>
  <si>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</si>
  <si>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</si>
  <si>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</si>
  <si>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</si>
  <si>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</si>
  <si>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</si>
  <si>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</si>
  <si>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</si>
  <si>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</si>
  <si>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</si>
  <si>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</si>
  <si>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</si>
  <si>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</si>
  <si>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</si>
  <si>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</si>
  <si>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</si>
  <si>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</si>
  <si>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</si>
  <si>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</si>
  <si>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</si>
  <si>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</si>
  <si>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</si>
  <si>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</si>
  <si>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</si>
  <si>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</si>
  <si>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</si>
  <si>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</si>
  <si>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</si>
  <si>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</si>
  <si>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</si>
  <si>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</si>
  <si>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</si>
  <si>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</si>
  <si>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</si>
  <si>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</si>
  <si>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</si>
  <si>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</si>
  <si>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</si>
  <si>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</si>
  <si>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</si>
  <si>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</si>
  <si>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</si>
  <si>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</si>
  <si>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</si>
  <si>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</si>
  <si>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</si>
  <si>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</si>
  <si>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</si>
  <si>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</si>
  <si>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</si>
  <si>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</si>
  <si>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</si>
  <si>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</si>
  <si>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</si>
  <si>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</si>
  <si>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</si>
  <si>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</si>
  <si>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</si>
  <si>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</si>
  <si>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</si>
  <si>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</si>
  <si>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</si>
  <si>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</si>
  <si>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</si>
  <si>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</si>
  <si>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</si>
  <si>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</si>
  <si>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</si>
  <si>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</si>
  <si>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</si>
  <si>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</si>
  <si>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</si>
  <si>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</si>
  <si>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</si>
  <si>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</si>
  <si>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</si>
  <si>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</si>
  <si>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</si>
  <si>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</si>
  <si>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</si>
  <si>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</si>
  <si>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</si>
  <si>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</si>
  <si>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</si>
  <si>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</si>
  <si>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</si>
  <si>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</si>
  <si>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</si>
  <si>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</si>
  <si>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</si>
  <si>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</si>
  <si>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</si>
  <si>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</si>
  <si>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</si>
  <si>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</si>
  <si>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</si>
  <si>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</si>
  <si>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</si>
  <si>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</si>
  <si>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</si>
  <si>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</si>
  <si>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</si>
  <si>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</si>
  <si>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</si>
  <si>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</si>
  <si>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</si>
  <si>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</si>
  <si>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</si>
  <si>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</si>
  <si>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</si>
  <si>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</si>
  <si>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</si>
  <si>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</si>
  <si>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</si>
  <si>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</si>
  <si>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</si>
  <si>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</si>
  <si>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</si>
  <si>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</si>
  <si>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</si>
  <si>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</si>
  <si>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</si>
  <si>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</si>
  <si>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</si>
  <si>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</si>
  <si>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</si>
  <si>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</si>
  <si>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</si>
  <si>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</si>
  <si>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</si>
  <si>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</si>
  <si>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</si>
  <si>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</si>
  <si>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</si>
  <si>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</si>
  <si>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</si>
  <si>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</si>
  <si>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</si>
  <si>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</si>
  <si>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</si>
  <si>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</si>
  <si>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</si>
  <si>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</si>
  <si>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</si>
  <si>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</si>
  <si>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</si>
  <si>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</si>
  <si>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</si>
  <si>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</si>
  <si>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</si>
  <si>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</si>
  <si>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</si>
  <si>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</si>
  <si>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</si>
  <si>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</si>
  <si>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</si>
  <si>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</si>
  <si>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</si>
  <si>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</si>
  <si>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</si>
  <si>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</si>
  <si>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</si>
  <si>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</si>
  <si>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</si>
  <si>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</si>
  <si>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</si>
  <si>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</si>
  <si>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</si>
  <si>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</si>
  <si>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</si>
  <si>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</si>
  <si>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</si>
  <si>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</si>
  <si>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</si>
  <si>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</si>
  <si>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</si>
  <si>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</si>
  <si>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</si>
  <si>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</si>
  <si>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</si>
  <si>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</si>
  <si>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</si>
  <si>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</si>
  <si>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</si>
  <si>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</si>
  <si>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</si>
  <si>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</si>
  <si>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</si>
  <si>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</si>
  <si>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</si>
  <si>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</si>
  <si>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</si>
  <si>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</si>
  <si>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</si>
  <si>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</si>
  <si>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</si>
  <si>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</si>
  <si>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</si>
  <si>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</si>
  <si>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</si>
  <si>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</si>
  <si>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</si>
  <si>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</si>
  <si>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</si>
  <si>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</si>
  <si>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</si>
  <si>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</si>
  <si>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</si>
  <si>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</si>
  <si>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</si>
  <si>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</si>
  <si>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</si>
  <si>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</si>
  <si>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</si>
  <si>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</si>
  <si>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</si>
  <si>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</si>
  <si>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</si>
  <si>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</si>
  <si>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</si>
  <si>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</si>
  <si>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</si>
  <si>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</si>
  <si>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</si>
  <si>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</si>
  <si>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</si>
  <si>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</si>
  <si>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</si>
  <si>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</si>
  <si>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</si>
  <si>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</si>
  <si>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</si>
  <si>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</si>
  <si>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</si>
  <si>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</si>
  <si>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</si>
  <si>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</si>
  <si>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</si>
  <si>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</si>
  <si>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</si>
  <si>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</si>
  <si>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</si>
  <si>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</si>
  <si>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</si>
  <si>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</si>
  <si>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</si>
  <si>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</si>
  <si>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</si>
  <si>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</si>
  <si>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</si>
  <si>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</si>
  <si>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</si>
  <si>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</si>
  <si>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</si>
  <si>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</si>
  <si>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</si>
  <si>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</si>
  <si>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</si>
  <si>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</si>
  <si>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</si>
  <si>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</si>
  <si>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</si>
  <si>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</si>
  <si>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</si>
  <si>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</si>
  <si>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</si>
  <si>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</si>
  <si>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</si>
  <si>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</si>
  <si>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</si>
  <si>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</si>
  <si>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</si>
  <si>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</si>
  <si>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</si>
  <si>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</si>
  <si>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</si>
  <si>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</si>
  <si>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</si>
  <si>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</si>
  <si>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</si>
  <si>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</si>
  <si>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</si>
  <si>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</si>
  <si>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</si>
  <si>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</si>
  <si>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</si>
  <si>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</si>
  <si>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</si>
  <si>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</si>
  <si>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</si>
  <si>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</si>
  <si>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</si>
  <si>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</si>
  <si>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</si>
  <si>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</si>
  <si>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</si>
  <si>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</si>
  <si>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</si>
  <si>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</si>
  <si>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</si>
  <si>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</si>
  <si>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</si>
  <si>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</si>
  <si>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</si>
  <si>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</si>
  <si>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</si>
  <si>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</si>
  <si>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</si>
  <si>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</si>
  <si>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</si>
  <si>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</si>
  <si>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</si>
  <si>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</si>
  <si>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</si>
  <si>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</si>
  <si>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</si>
  <si>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</si>
  <si>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</si>
  <si>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</si>
  <si>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</si>
  <si>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</si>
  <si>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</si>
  <si>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</si>
  <si>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</si>
  <si>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</si>
  <si>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</si>
  <si>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</si>
  <si>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</si>
  <si>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</si>
  <si>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</si>
  <si>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</si>
  <si>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</si>
  <si>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</si>
  <si>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</si>
  <si>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</si>
  <si>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</si>
  <si>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</si>
  <si>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</si>
  <si>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</si>
  <si>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</si>
  <si>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</si>
  <si>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</si>
  <si>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</si>
  <si>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</si>
  <si>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</si>
  <si>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</si>
  <si>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</si>
  <si>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</si>
  <si>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</si>
  <si>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</si>
  <si>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</si>
  <si>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</si>
  <si>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</si>
  <si>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</si>
  <si>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</si>
  <si>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</si>
  <si>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</si>
  <si>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</si>
  <si>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</si>
  <si>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</si>
  <si>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</si>
  <si>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</si>
  <si>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</si>
  <si>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</si>
  <si>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</si>
  <si>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</si>
  <si>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</si>
  <si>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</si>
  <si>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</si>
  <si>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</si>
  <si>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</si>
  <si>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</si>
  <si>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</si>
  <si>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</si>
  <si>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</si>
  <si>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</si>
  <si>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</si>
  <si>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</si>
  <si>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</si>
  <si>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</si>
  <si>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</si>
  <si>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</si>
  <si>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</si>
  <si>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</si>
  <si>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</si>
  <si>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</si>
  <si>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</si>
  <si>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</si>
  <si>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</si>
  <si>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</si>
  <si>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</si>
  <si>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</si>
  <si>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</si>
  <si>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</si>
  <si>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</si>
  <si>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</si>
  <si>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</si>
  <si>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</si>
  <si>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</si>
  <si>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</si>
  <si>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</si>
  <si>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</si>
  <si>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</si>
  <si>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</si>
  <si>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</si>
  <si>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</si>
  <si>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</si>
  <si>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</si>
  <si>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</si>
  <si>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</si>
  <si>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</si>
  <si>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</si>
  <si>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</si>
  <si>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</si>
  <si>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</si>
  <si>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</si>
  <si>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</si>
  <si>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</si>
  <si>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</si>
  <si>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</si>
  <si>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</si>
  <si>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</si>
  <si>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</si>
  <si>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</si>
  <si>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</si>
  <si>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</si>
  <si>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</si>
  <si>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</si>
  <si>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</si>
  <si>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</si>
  <si>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</si>
  <si>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</si>
  <si>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</si>
  <si>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</si>
  <si>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</si>
  <si>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</si>
  <si>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</si>
  <si>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</si>
  <si>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</si>
  <si>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</si>
  <si>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</si>
  <si>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</si>
  <si>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</si>
  <si>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</si>
  <si>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</si>
  <si>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</si>
  <si>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</si>
  <si>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</si>
  <si>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</si>
  <si>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</si>
  <si>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</si>
  <si>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</si>
  <si>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</si>
  <si>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</si>
  <si>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</si>
  <si>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</si>
  <si>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</si>
  <si>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</si>
  <si>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</si>
  <si>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</si>
  <si>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</si>
  <si>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</si>
  <si>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</si>
  <si>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</si>
  <si>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</si>
  <si>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</si>
  <si>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</si>
  <si>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</si>
  <si>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</si>
  <si>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</si>
  <si>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</si>
  <si>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</si>
  <si>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</si>
  <si>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</si>
  <si>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</si>
  <si>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</si>
  <si>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</si>
  <si>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</si>
  <si>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</si>
  <si>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</si>
  <si>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</si>
  <si>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</si>
  <si>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</si>
  <si>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</si>
  <si>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</si>
  <si>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</si>
  <si>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</si>
  <si>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</si>
  <si>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</si>
  <si>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</si>
  <si>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</si>
  <si>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</si>
  <si>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</si>
  <si>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</si>
  <si>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</si>
  <si>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</si>
  <si>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</si>
  <si>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</si>
  <si>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</si>
  <si>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</si>
  <si>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</si>
  <si>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</si>
  <si>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</si>
  <si>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</si>
  <si>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</si>
  <si>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</si>
  <si>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</si>
  <si>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</si>
  <si>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</si>
  <si>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</si>
  <si>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</si>
  <si>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</si>
  <si>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</si>
  <si>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</si>
  <si>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</si>
  <si>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</si>
  <si>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</si>
  <si>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</si>
  <si>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</si>
  <si>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</si>
  <si>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</si>
  <si>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</si>
  <si>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</si>
  <si>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</si>
  <si>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</si>
  <si>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</si>
  <si>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</si>
  <si>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</si>
  <si>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</si>
  <si>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</si>
  <si>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</si>
  <si>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</si>
  <si>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</si>
  <si>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</si>
  <si>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</si>
  <si>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</si>
  <si>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</si>
  <si>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</si>
  <si>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</si>
  <si>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</si>
  <si>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</si>
  <si>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</si>
  <si>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</si>
  <si>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</si>
  <si>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</si>
  <si>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</si>
  <si>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</si>
  <si>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</si>
  <si>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</si>
  <si>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</si>
  <si>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</si>
  <si>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</si>
  <si>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</si>
  <si>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</si>
  <si>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</si>
  <si>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</si>
  <si>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</si>
  <si>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</si>
  <si>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</si>
  <si>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</si>
  <si>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</si>
  <si>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</si>
  <si>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</si>
  <si>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</si>
  <si>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</si>
  <si>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</si>
  <si>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</si>
  <si>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</si>
  <si>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</si>
  <si>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</si>
  <si>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</si>
  <si>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</si>
  <si>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</si>
  <si>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</si>
  <si>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</si>
  <si>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</si>
  <si>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</si>
  <si>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</si>
  <si>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</si>
  <si>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</si>
  <si>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</si>
  <si>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</si>
  <si>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</si>
  <si>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</si>
  <si>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</si>
  <si>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</si>
  <si>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</si>
  <si>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</si>
  <si>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</si>
  <si>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</si>
  <si>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</si>
  <si>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</si>
  <si>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</si>
  <si>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</si>
  <si>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</si>
  <si>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</si>
  <si>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</si>
  <si>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</si>
  <si>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</si>
  <si>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</si>
  <si>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</si>
  <si>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</si>
  <si>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</si>
  <si>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</si>
  <si>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</si>
  <si>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</si>
  <si>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</si>
  <si>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</si>
  <si>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</si>
  <si>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</si>
  <si>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</si>
  <si>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</si>
  <si>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</si>
  <si>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</si>
  <si>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</si>
  <si>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</si>
  <si>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</si>
  <si>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</si>
  <si>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</si>
  <si>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</si>
  <si>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</si>
  <si>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</si>
  <si>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</si>
  <si>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</si>
  <si>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</si>
  <si>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</si>
  <si>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</si>
  <si>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</si>
  <si>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</si>
  <si>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</si>
  <si>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</si>
  <si>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</si>
  <si>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</si>
  <si>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</si>
  <si>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</si>
  <si>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</si>
  <si>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</si>
  <si>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</si>
  <si>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</si>
  <si>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</si>
  <si>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</si>
  <si>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</si>
  <si>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</si>
  <si>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</si>
  <si>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</si>
  <si>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</si>
  <si>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</si>
  <si>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</si>
  <si>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</si>
  <si>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</si>
  <si>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</si>
  <si>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</si>
  <si>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</si>
  <si>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</si>
  <si>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</si>
  <si>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</si>
  <si>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</si>
  <si>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</si>
  <si>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</si>
  <si>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</si>
  <si>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</si>
  <si>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</si>
  <si>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</si>
  <si>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</si>
  <si>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</si>
  <si>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</si>
  <si>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</si>
  <si>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</si>
  <si>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</si>
  <si>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</si>
  <si>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</si>
  <si>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</si>
  <si>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</si>
  <si>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</si>
  <si>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</si>
  <si>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</si>
  <si>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</si>
  <si>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</si>
  <si>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</si>
  <si>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</si>
  <si>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</si>
  <si>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</si>
  <si>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</si>
  <si>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</si>
  <si>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</si>
  <si>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</si>
  <si>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</si>
  <si>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</si>
  <si>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</si>
  <si>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</si>
  <si>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</si>
  <si>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</si>
  <si>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</si>
  <si>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</si>
  <si>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</si>
  <si>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</si>
  <si>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</si>
  <si>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</si>
  <si>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</si>
  <si>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</si>
  <si>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</si>
  <si>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</si>
  <si>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</si>
  <si>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</si>
  <si>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</si>
  <si>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</si>
  <si>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</si>
  <si>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</si>
  <si>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</si>
  <si>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</si>
  <si>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</si>
  <si>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</si>
  <si>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</si>
  <si>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</si>
  <si>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</si>
  <si>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</si>
  <si>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</si>
  <si>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</si>
  <si>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</si>
  <si>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</si>
  <si>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</si>
  <si>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</si>
  <si>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</si>
  <si>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</si>
  <si>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</si>
  <si>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</si>
  <si>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</si>
  <si>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</si>
  <si>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</si>
  <si>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</si>
  <si>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</si>
  <si>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</si>
  <si>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</si>
  <si>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</si>
  <si>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</si>
  <si>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</si>
  <si>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</si>
  <si>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</si>
  <si>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</si>
  <si>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</si>
  <si>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</si>
  <si>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</si>
  <si>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</si>
  <si>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</si>
  <si>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</si>
  <si>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</si>
  <si>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</si>
  <si>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</si>
  <si>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</si>
  <si>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</si>
  <si>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</si>
  <si>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</si>
  <si>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</si>
  <si>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</si>
  <si>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</si>
  <si>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</si>
  <si>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</si>
  <si>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</si>
  <si>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</si>
  <si>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</si>
  <si>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</si>
  <si>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</si>
  <si>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</si>
  <si>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</si>
  <si>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</si>
  <si>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</si>
  <si>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</si>
  <si>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</si>
  <si>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</si>
  <si>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</si>
  <si>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</si>
  <si>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</si>
  <si>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</si>
  <si>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</si>
  <si>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</si>
  <si>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</si>
  <si>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</si>
  <si>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</si>
  <si>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</si>
  <si>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</si>
  <si>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</si>
  <si>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</si>
  <si>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</si>
  <si>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</si>
  <si>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</si>
  <si>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</si>
  <si>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</si>
  <si>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</si>
  <si>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</si>
  <si>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</si>
  <si>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</si>
  <si>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</si>
  <si>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</si>
  <si>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</si>
  <si>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</si>
  <si>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</si>
  <si>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</si>
  <si>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</si>
  <si>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</si>
  <si>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</si>
  <si>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</si>
  <si>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</si>
  <si>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</si>
  <si>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</si>
  <si>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</si>
  <si>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</si>
  <si>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</si>
  <si>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</si>
  <si>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</si>
  <si>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</si>
  <si>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</si>
  <si>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</si>
  <si>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</si>
  <si>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</si>
  <si>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</si>
  <si>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</si>
  <si>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</si>
  <si>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</si>
  <si>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</si>
  <si>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</si>
  <si>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</si>
  <si>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</si>
  <si>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</si>
  <si>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</si>
  <si>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</si>
  <si>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</si>
  <si>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</si>
  <si>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</si>
  <si>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</si>
  <si>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</si>
  <si>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</si>
  <si>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</si>
  <si>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</si>
  <si>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</si>
  <si>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</si>
  <si>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</si>
  <si>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</si>
  <si>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</si>
  <si>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</si>
  <si>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</si>
  <si>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</si>
  <si>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</si>
  <si>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</si>
  <si>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</si>
  <si>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</si>
  <si>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</si>
  <si>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</si>
  <si>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</si>
  <si>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</si>
  <si>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</si>
  <si>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</si>
  <si>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</si>
  <si>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</si>
  <si>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</si>
  <si>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</si>
  <si>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</si>
  <si>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</si>
  <si>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</si>
  <si>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</si>
  <si>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</si>
  <si>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</si>
  <si>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</si>
  <si>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</si>
  <si>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</si>
  <si>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</si>
  <si>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</si>
  <si>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</si>
  <si>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</si>
  <si>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</si>
  <si>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</si>
  <si>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</si>
  <si>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</si>
  <si>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</si>
  <si>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</si>
  <si>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</si>
  <si>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</si>
  <si>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</si>
  <si>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</si>
  <si>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</si>
  <si>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</si>
  <si>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</si>
  <si>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</si>
  <si>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</si>
  <si>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</si>
  <si>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</si>
  <si>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</si>
  <si>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</si>
  <si>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</si>
  <si>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</si>
  <si>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</si>
  <si>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</si>
  <si>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</si>
  <si>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</si>
  <si>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</si>
  <si>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</si>
  <si>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</si>
  <si>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</si>
  <si>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</si>
  <si>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</si>
  <si>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</si>
  <si>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</si>
  <si>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</si>
  <si>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</si>
  <si>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</si>
  <si>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</si>
  <si>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</si>
  <si>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</si>
  <si>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</si>
  <si>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</si>
  <si>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</si>
  <si>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</si>
  <si>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</si>
  <si>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</si>
  <si>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</si>
  <si>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</si>
  <si>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</si>
  <si>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</si>
  <si>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</si>
  <si>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</si>
  <si>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</si>
  <si>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</si>
  <si>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</si>
  <si>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</si>
  <si>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</si>
  <si>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</si>
  <si>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</si>
  <si>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</si>
  <si>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</si>
  <si>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</si>
  <si>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</si>
  <si>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</si>
  <si>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</si>
  <si>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</si>
  <si>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</si>
  <si>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</si>
  <si>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</si>
  <si>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</si>
  <si>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</si>
  <si>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</si>
  <si>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</si>
  <si>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</si>
  <si>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</si>
  <si>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</si>
  <si>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</si>
  <si>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</si>
  <si>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</si>
  <si>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</si>
  <si>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</si>
  <si>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</si>
  <si>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</si>
  <si>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</si>
  <si>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</si>
  <si>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</si>
  <si>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</si>
  <si>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</si>
  <si>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</si>
  <si>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</si>
  <si>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</si>
  <si>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</si>
  <si>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</si>
  <si>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</si>
  <si>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</si>
  <si>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</si>
  <si>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</si>
  <si>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</si>
  <si>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</si>
  <si>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</si>
  <si>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</si>
  <si>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</si>
  <si>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</si>
  <si>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</si>
  <si>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</si>
  <si>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</si>
  <si>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</si>
  <si>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</si>
  <si>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</si>
  <si>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</si>
  <si>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</si>
  <si>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</si>
  <si>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</si>
  <si>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</si>
  <si>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</si>
  <si>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</si>
  <si>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</si>
  <si>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</si>
  <si>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</si>
  <si>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</si>
  <si>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</si>
  <si>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</si>
  <si>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</si>
  <si>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</si>
  <si>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</si>
  <si>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</si>
  <si>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</si>
  <si>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</si>
  <si>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</si>
  <si>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</si>
  <si>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</si>
  <si>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</si>
  <si>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</si>
  <si>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</si>
  <si>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</si>
  <si>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</si>
  <si>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</si>
  <si>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</si>
  <si>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</si>
  <si>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</si>
  <si>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</si>
  <si>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</si>
  <si>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</si>
  <si>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</si>
  <si>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</si>
  <si>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</si>
  <si>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</si>
  <si>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</si>
  <si>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</si>
  <si>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</si>
  <si>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</si>
  <si>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</si>
  <si>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</si>
  <si>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</si>
  <si>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</si>
  <si>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</si>
  <si>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</si>
  <si>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</si>
  <si>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</si>
  <si>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</si>
  <si>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</si>
  <si>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</si>
  <si>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</si>
  <si>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</si>
  <si>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</si>
  <si>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</si>
  <si>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</si>
  <si>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</si>
  <si>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</si>
  <si>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</si>
  <si>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</si>
  <si>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</si>
  <si>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</si>
  <si>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</si>
  <si>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</si>
  <si>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</si>
  <si>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</si>
  <si>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</si>
  <si>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</si>
  <si>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</si>
  <si>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</si>
  <si>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</si>
  <si>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</si>
  <si>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</si>
  <si>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</si>
  <si>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</si>
  <si>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</si>
  <si>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</si>
  <si>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</si>
  <si>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</si>
  <si>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</si>
  <si>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</si>
  <si>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</si>
  <si>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</si>
  <si>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</si>
  <si>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</si>
  <si>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</si>
  <si>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</si>
  <si>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</si>
  <si>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</si>
  <si>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</si>
  <si>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</si>
  <si>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</si>
  <si>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</si>
  <si>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</si>
  <si>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</si>
  <si>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</si>
  <si>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</si>
  <si>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</si>
  <si>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</si>
  <si>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</si>
  <si>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</si>
  <si>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</si>
  <si>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</si>
  <si>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</si>
  <si>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</si>
  <si>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</si>
  <si>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</si>
  <si>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</si>
  <si>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</si>
  <si>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</si>
  <si>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</si>
  <si>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</si>
  <si>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</si>
  <si>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</si>
  <si>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</si>
  <si>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</si>
  <si>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</si>
  <si>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</si>
  <si>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</si>
  <si>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</si>
  <si>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</si>
  <si>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</si>
  <si>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</si>
  <si>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</si>
  <si>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</si>
  <si>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</si>
  <si>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</si>
  <si>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</si>
  <si>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</si>
  <si>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</si>
  <si>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</si>
  <si>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</si>
  <si>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</si>
  <si>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</si>
  <si>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</si>
  <si>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</si>
  <si>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</si>
  <si>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</si>
  <si>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</si>
  <si>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</si>
  <si>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</si>
  <si>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</si>
  <si>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</si>
  <si>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</si>
  <si>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</si>
  <si>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</si>
  <si>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</si>
  <si>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</si>
  <si>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</si>
  <si>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</si>
  <si>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</si>
  <si>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</si>
  <si>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</si>
  <si>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</si>
  <si>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</si>
  <si>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</si>
  <si>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</si>
  <si>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</si>
  <si>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</si>
  <si>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</si>
  <si>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</si>
  <si>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</si>
  <si>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</si>
  <si>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</si>
  <si>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</si>
  <si>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</si>
  <si>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</si>
  <si>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</si>
  <si>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</si>
  <si>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</si>
  <si>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</si>
  <si>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</si>
  <si>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</si>
  <si>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</si>
  <si>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</si>
  <si>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</si>
  <si>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</si>
  <si>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</si>
  <si>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</si>
  <si>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</si>
  <si>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</si>
  <si>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</si>
  <si>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</si>
  <si>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</si>
  <si>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</si>
  <si>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</si>
  <si>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</si>
  <si>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</si>
  <si>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</si>
  <si>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</si>
  <si>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</si>
  <si>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</si>
  <si>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</si>
  <si>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</si>
  <si>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</si>
  <si>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</si>
  <si>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</si>
  <si>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</si>
  <si>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</si>
  <si>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</si>
  <si>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</si>
  <si>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</si>
  <si>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</si>
  <si>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</si>
  <si>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</si>
  <si>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</si>
  <si>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</si>
  <si>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</si>
  <si>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</si>
  <si>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</si>
  <si>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</si>
  <si>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</si>
  <si>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</si>
  <si>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</si>
  <si>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</si>
  <si>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</si>
  <si>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</si>
  <si>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</si>
  <si>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</si>
  <si>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</si>
  <si>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</si>
  <si>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</si>
  <si>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</si>
  <si>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</si>
  <si>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</si>
  <si>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</si>
  <si>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</si>
  <si>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</si>
  <si>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</si>
  <si>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</si>
  <si>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</si>
  <si>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</si>
  <si>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</si>
  <si>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</si>
  <si>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</si>
  <si>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</si>
  <si>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</si>
  <si>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</si>
  <si>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</si>
  <si>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</si>
  <si>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</si>
  <si>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</si>
  <si>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</si>
  <si>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</si>
  <si>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</si>
  <si>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</si>
  <si>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</si>
  <si>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</si>
  <si>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</si>
  <si>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</si>
  <si>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</si>
  <si>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</si>
  <si>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</si>
  <si>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</si>
  <si>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</si>
  <si>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</si>
  <si>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</si>
  <si>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</si>
  <si>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</si>
  <si>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</si>
  <si>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</si>
  <si>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</si>
  <si>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</si>
  <si>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</si>
  <si>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</si>
  <si>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</si>
  <si>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</si>
  <si>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</si>
  <si>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</si>
  <si>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</si>
  <si>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</si>
  <si>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</si>
  <si>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</si>
  <si>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</si>
  <si>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</si>
  <si>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</si>
  <si>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</si>
  <si>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</si>
  <si>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</si>
  <si>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</si>
  <si>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</si>
  <si>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</si>
  <si>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</si>
  <si>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</si>
  <si>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</si>
  <si>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</si>
  <si>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</si>
  <si>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</si>
  <si>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</si>
  <si>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</si>
  <si>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</si>
  <si>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</si>
  <si>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</si>
  <si>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</si>
  <si>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</si>
  <si>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</si>
  <si>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</si>
  <si>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</si>
  <si>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</si>
  <si>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</si>
  <si>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</si>
  <si>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</si>
  <si>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</si>
  <si>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</si>
  <si>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</si>
  <si>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</si>
  <si>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</si>
  <si>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</si>
  <si>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</si>
  <si>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</si>
  <si>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</si>
  <si>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</si>
  <si>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</si>
  <si>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</si>
  <si>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</si>
  <si>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</si>
  <si>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</si>
  <si>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</si>
  <si>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</si>
  <si>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</si>
  <si>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</si>
  <si>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</si>
  <si>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</si>
  <si>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</si>
  <si>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</si>
  <si>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</si>
  <si>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</si>
  <si>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</si>
  <si>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</si>
  <si>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</si>
  <si>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</si>
  <si>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</si>
  <si>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</si>
  <si>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</si>
  <si>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</si>
  <si>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</si>
  <si>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</si>
  <si>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</si>
  <si>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</si>
  <si>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</si>
  <si>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</si>
  <si>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</si>
  <si>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</si>
  <si>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</si>
  <si>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</si>
  <si>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</si>
  <si>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</si>
  <si>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</si>
  <si>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</si>
  <si>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</si>
  <si>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</si>
  <si>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</si>
  <si>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</si>
  <si>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</si>
  <si>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</si>
  <si>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</si>
  <si>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</si>
  <si>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</si>
  <si>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</si>
  <si>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</si>
  <si>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</si>
  <si>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</si>
  <si>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</si>
  <si>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</si>
  <si>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</si>
  <si>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</si>
  <si>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</si>
  <si>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</si>
  <si>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</si>
  <si>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</si>
  <si>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</si>
  <si>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</si>
  <si>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</si>
  <si>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</si>
  <si>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</si>
  <si>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</si>
  <si>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</si>
  <si>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</si>
  <si>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</si>
  <si>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</si>
  <si>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</si>
  <si>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</si>
  <si>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</si>
  <si>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</si>
  <si>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</si>
  <si>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</si>
  <si>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</si>
  <si>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</si>
  <si>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</si>
  <si>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</si>
  <si>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</si>
  <si>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</si>
  <si>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</si>
  <si>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</si>
  <si>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</si>
  <si>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</si>
  <si>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</si>
  <si>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</si>
  <si>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</si>
  <si>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</si>
  <si>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</si>
  <si>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</si>
  <si>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</si>
  <si>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</si>
  <si>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</si>
  <si>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</si>
  <si>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</si>
  <si>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</si>
  <si>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</si>
  <si>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</si>
  <si>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</si>
  <si>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</si>
  <si>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</si>
  <si>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</si>
  <si>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</si>
  <si>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</si>
  <si>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</si>
  <si>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</si>
  <si>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</si>
  <si>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</si>
  <si>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</si>
  <si>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</si>
  <si>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</si>
  <si>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</si>
  <si>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</si>
  <si>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</si>
  <si>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</si>
  <si>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</si>
  <si>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</si>
  <si>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</si>
  <si>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</si>
  <si>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</si>
  <si>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</si>
  <si>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</si>
  <si>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</si>
  <si>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</si>
  <si>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</si>
  <si>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</si>
  <si>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</si>
  <si>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</si>
  <si>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</si>
  <si>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</si>
  <si>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</si>
  <si>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</si>
  <si>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</si>
  <si>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</si>
  <si>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</si>
  <si>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</si>
  <si>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</si>
  <si>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</si>
  <si>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</si>
  <si>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</si>
  <si>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</si>
  <si>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</si>
  <si>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</si>
  <si>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</si>
  <si>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</si>
  <si>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</si>
  <si>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</si>
  <si>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</si>
  <si>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</si>
  <si>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</si>
  <si>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</si>
  <si>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</si>
  <si>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</si>
  <si>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</si>
  <si>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</si>
  <si>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</si>
  <si>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</si>
  <si>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</si>
  <si>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</si>
  <si>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</si>
  <si>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</si>
  <si>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</si>
  <si>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</si>
  <si>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</si>
  <si>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</si>
  <si>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</si>
  <si>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</si>
  <si>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</si>
  <si>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</si>
  <si>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</si>
  <si>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</si>
  <si>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</si>
  <si>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</si>
  <si>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</si>
  <si>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</si>
  <si>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</si>
  <si>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</si>
  <si>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</si>
  <si>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</si>
  <si>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</si>
  <si>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</si>
  <si>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</si>
  <si>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</si>
  <si>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</si>
  <si>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</si>
  <si>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</si>
  <si>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</si>
  <si>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</si>
  <si>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</si>
  <si>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</si>
  <si>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</si>
  <si>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</si>
  <si>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</si>
  <si>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</si>
  <si>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</si>
  <si>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</si>
  <si>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</si>
  <si>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</si>
  <si>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</si>
  <si>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</si>
  <si>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</si>
  <si>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</si>
  <si>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</si>
  <si>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</si>
  <si>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</si>
  <si>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</si>
  <si>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</si>
  <si>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</si>
  <si>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</si>
  <si>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</si>
  <si>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</si>
  <si>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</si>
  <si>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</si>
  <si>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</si>
  <si>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</si>
  <si>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</si>
  <si>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</si>
  <si>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</si>
  <si>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</si>
  <si>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</si>
  <si>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</si>
  <si>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</si>
  <si>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</si>
  <si>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</si>
  <si>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</si>
  <si>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</si>
  <si>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</si>
  <si>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</si>
  <si>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</si>
  <si>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</si>
  <si>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</si>
  <si>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</si>
  <si>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</si>
  <si>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</si>
  <si>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</si>
  <si>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</si>
  <si>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</si>
  <si>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</si>
  <si>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</si>
  <si>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</si>
  <si>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</si>
  <si>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</si>
  <si>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</si>
  <si>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</si>
  <si>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</si>
  <si>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</si>
  <si>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</si>
  <si>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</si>
  <si>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</si>
  <si>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</si>
  <si>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</si>
  <si>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</si>
  <si>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</si>
  <si>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</si>
  <si>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</si>
  <si>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</si>
  <si>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</si>
  <si>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</si>
  <si>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</si>
  <si>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</si>
  <si>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</si>
  <si>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</si>
  <si>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</si>
  <si>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</si>
  <si>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</si>
  <si>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</si>
  <si>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</si>
  <si>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</si>
  <si>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</si>
  <si>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</si>
  <si>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</si>
  <si>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</si>
  <si>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</si>
  <si>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</si>
  <si>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</si>
  <si>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</si>
  <si>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</si>
  <si>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</si>
  <si>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</si>
  <si>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</si>
  <si>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</si>
  <si>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</si>
  <si>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</si>
  <si>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</si>
  <si>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</si>
  <si>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</si>
  <si>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</si>
  <si>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</si>
  <si>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</si>
  <si>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</si>
  <si>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</si>
  <si>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</si>
  <si>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</si>
  <si>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</si>
  <si>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</si>
  <si>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</si>
  <si>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</si>
  <si>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</si>
  <si>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</si>
  <si>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</si>
  <si>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</si>
  <si>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</si>
  <si>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</si>
  <si>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</si>
  <si>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</si>
  <si>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</si>
  <si>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</si>
  <si>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</si>
  <si>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</si>
  <si>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</si>
  <si>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</si>
  <si>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</si>
  <si>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</si>
  <si>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</si>
  <si>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</si>
  <si>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</si>
  <si>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</si>
  <si>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</si>
  <si>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</si>
  <si>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</si>
  <si>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</si>
  <si>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</si>
  <si>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</si>
  <si>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</si>
  <si>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</si>
  <si>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</si>
  <si>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</si>
  <si>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</si>
  <si>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</si>
  <si>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</si>
  <si>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</si>
  <si>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</si>
  <si>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</si>
  <si>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</si>
  <si>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</si>
  <si>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</si>
  <si>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</si>
  <si>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</si>
  <si>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</si>
  <si>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</si>
  <si>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</si>
  <si>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</si>
  <si>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</si>
  <si>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</si>
  <si>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</si>
  <si>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</si>
  <si>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</si>
  <si>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</si>
  <si>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</si>
  <si>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</si>
  <si>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</si>
  <si>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</si>
  <si>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</si>
  <si>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</si>
  <si>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</si>
  <si>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</si>
  <si>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</si>
  <si>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</si>
  <si>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</si>
  <si>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</si>
  <si>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</si>
  <si>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</si>
  <si>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</si>
  <si>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</si>
  <si>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</si>
  <si>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</si>
  <si>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</si>
  <si>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</si>
  <si>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</si>
  <si>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</si>
  <si>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</si>
  <si>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</si>
  <si>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</si>
  <si>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</si>
  <si>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</si>
  <si>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</si>
  <si>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</si>
  <si>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</si>
  <si>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</si>
  <si>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</si>
  <si>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</si>
  <si>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</si>
  <si>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</si>
  <si>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</si>
  <si>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</si>
  <si>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</si>
  <si>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</si>
  <si>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</si>
  <si>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</si>
  <si>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</si>
  <si>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</si>
  <si>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</si>
  <si>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</si>
  <si>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</si>
  <si>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</si>
  <si>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</si>
  <si>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</si>
  <si>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</si>
  <si>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</si>
  <si>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</si>
  <si>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</si>
  <si>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</si>
  <si>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</si>
  <si>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</si>
  <si>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</si>
  <si>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</si>
  <si>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</si>
  <si>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</si>
  <si>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</si>
  <si>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</si>
  <si>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</si>
  <si>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</si>
  <si>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</si>
  <si>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</si>
  <si>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</si>
  <si>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</si>
  <si>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</si>
  <si>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</si>
  <si>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</si>
  <si>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</si>
  <si>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</si>
  <si>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</si>
  <si>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</si>
  <si>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</si>
  <si>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</si>
  <si>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</si>
  <si>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</si>
  <si>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</si>
  <si>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</si>
  <si>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</si>
  <si>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</si>
  <si>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</si>
  <si>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</si>
  <si>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</si>
  <si>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</si>
  <si>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</si>
  <si>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</si>
  <si>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</si>
  <si>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</si>
  <si>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</si>
  <si>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</si>
  <si>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</si>
  <si>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</si>
  <si>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</si>
  <si>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</si>
  <si>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</si>
  <si>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</si>
  <si>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</si>
  <si>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</si>
  <si>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</si>
  <si>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</si>
  <si>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</si>
  <si>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</si>
  <si>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</si>
  <si>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</si>
  <si>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</si>
  <si>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</si>
  <si>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</si>
  <si>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</si>
  <si>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</si>
  <si>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</si>
  <si>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</si>
  <si>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</si>
  <si>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</si>
  <si>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</si>
  <si>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</si>
  <si>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</si>
  <si>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</si>
  <si>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</si>
  <si>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</si>
  <si>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</si>
  <si>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</si>
  <si>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</si>
  <si>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</si>
  <si>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</si>
  <si>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</si>
  <si>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</si>
  <si>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</si>
  <si>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</si>
  <si>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</si>
  <si>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</si>
  <si>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</si>
  <si>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</si>
  <si>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</si>
  <si>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</si>
  <si>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</si>
  <si>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</si>
  <si>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</si>
  <si>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</si>
  <si>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</si>
  <si>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</si>
  <si>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</si>
  <si>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</si>
  <si>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</si>
  <si>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</si>
  <si>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</si>
  <si>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</si>
  <si>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</si>
  <si>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</si>
  <si>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</si>
  <si>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</si>
  <si>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</si>
  <si>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</si>
  <si>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</si>
  <si>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</si>
  <si>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</si>
  <si>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</si>
  <si>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</si>
  <si>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</si>
  <si>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</si>
  <si>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</si>
  <si>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</si>
  <si>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</si>
  <si>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</si>
  <si>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</si>
  <si>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</si>
  <si>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</si>
  <si>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</si>
  <si>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</si>
  <si>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</si>
  <si>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</si>
  <si>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</si>
  <si>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</si>
  <si>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</si>
  <si>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</si>
  <si>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</si>
  <si>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</si>
  <si>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</si>
  <si>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</si>
  <si>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</si>
  <si>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</si>
  <si>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</si>
  <si>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</si>
  <si>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</si>
  <si>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</si>
  <si>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</si>
  <si>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</si>
  <si>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</si>
  <si>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</si>
  <si>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</si>
  <si>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</si>
  <si>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</si>
  <si>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</si>
  <si>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</si>
  <si>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</si>
  <si>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</si>
  <si>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</si>
  <si>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</si>
  <si>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</si>
  <si>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</si>
  <si>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</si>
  <si>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</si>
  <si>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</si>
  <si>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</si>
  <si>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</si>
  <si>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</si>
  <si>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</si>
  <si>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</si>
  <si>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</si>
  <si>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</si>
  <si>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</si>
  <si>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</si>
  <si>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</si>
  <si>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</si>
  <si>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</si>
  <si>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</si>
  <si>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</si>
  <si>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</si>
  <si>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</si>
  <si>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</si>
  <si>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</si>
  <si>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</si>
  <si>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</si>
  <si>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</si>
  <si>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</si>
  <si>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</si>
  <si>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</si>
  <si>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</si>
  <si>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</si>
  <si>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</si>
  <si>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</si>
  <si>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</si>
  <si>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</si>
  <si>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</si>
  <si>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</si>
  <si>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</si>
  <si>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</si>
  <si>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</si>
  <si>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</si>
  <si>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</si>
  <si>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</si>
  <si>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</si>
  <si>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</si>
  <si>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</si>
  <si>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</si>
  <si>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</si>
  <si>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</si>
  <si>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</si>
  <si>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</si>
  <si>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</si>
  <si>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</si>
  <si>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</si>
  <si>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</si>
  <si>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</si>
  <si>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</si>
  <si>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</si>
  <si>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</si>
  <si>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</si>
  <si>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</si>
  <si>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</si>
  <si>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</si>
  <si>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</si>
  <si>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</si>
  <si>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</si>
  <si>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</si>
  <si>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</si>
  <si>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</si>
  <si>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</si>
  <si>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</si>
  <si>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</si>
  <si>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</si>
  <si>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</si>
  <si>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</si>
  <si>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</si>
  <si>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</si>
  <si>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</si>
  <si>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</si>
  <si>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</si>
  <si>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</si>
  <si>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</si>
  <si>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</si>
  <si>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</si>
  <si>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</si>
  <si>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</si>
  <si>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</si>
  <si>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</si>
  <si>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</si>
  <si>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</si>
  <si>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</si>
  <si>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</si>
  <si>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</si>
  <si>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</si>
  <si>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</si>
  <si>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</si>
  <si>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</si>
  <si>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</si>
  <si>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</si>
  <si>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</si>
  <si>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</si>
  <si>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</si>
  <si>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</si>
  <si>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</si>
  <si>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</si>
  <si>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</si>
  <si>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</si>
  <si>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</si>
  <si>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</si>
  <si>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</si>
  <si>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</si>
  <si>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</si>
  <si>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</si>
  <si>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</si>
  <si>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</si>
  <si>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</si>
  <si>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</si>
  <si>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</si>
  <si>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</si>
  <si>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</si>
  <si>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</si>
  <si>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</si>
  <si>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</si>
  <si>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</si>
  <si>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</si>
  <si>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</si>
  <si>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</si>
  <si>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</si>
  <si>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</si>
  <si>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</si>
  <si>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</si>
  <si>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</si>
  <si>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</si>
  <si>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</si>
  <si>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</si>
  <si>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</si>
  <si>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</si>
  <si>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</si>
  <si>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</si>
  <si>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</si>
  <si>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</si>
  <si>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</si>
  <si>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</si>
  <si>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</si>
  <si>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</si>
  <si>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</si>
  <si>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</si>
  <si>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</si>
  <si>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</si>
  <si>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</si>
  <si>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</si>
  <si>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</si>
  <si>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</si>
  <si>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</si>
  <si>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</si>
  <si>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</si>
  <si>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</si>
  <si>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</si>
  <si>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</si>
  <si>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</si>
  <si>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</si>
  <si>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</si>
  <si>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</si>
  <si>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</si>
  <si>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</si>
  <si>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</si>
  <si>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</si>
  <si>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</si>
  <si>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</si>
  <si>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</si>
  <si>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</si>
  <si>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</si>
  <si>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</si>
  <si>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</si>
  <si>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</si>
  <si>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</si>
  <si>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</si>
  <si>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</si>
  <si>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</si>
  <si>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</si>
  <si>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</si>
  <si>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</si>
  <si>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</si>
  <si>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</si>
  <si>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</si>
  <si>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</si>
  <si>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</si>
  <si>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</si>
  <si>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</si>
  <si>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</si>
  <si>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</si>
  <si>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</si>
  <si>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</si>
  <si>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</si>
  <si>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</si>
  <si>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</si>
  <si>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</si>
  <si>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</si>
  <si>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</si>
  <si>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</si>
  <si>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</si>
  <si>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</si>
  <si>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</si>
  <si>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</si>
  <si>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</si>
  <si>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</si>
  <si>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</si>
  <si>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</si>
  <si>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</si>
  <si>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</si>
  <si>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</si>
  <si>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</si>
  <si>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</si>
  <si>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</si>
  <si>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</si>
  <si>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</si>
  <si>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</si>
  <si>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</si>
  <si>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</si>
  <si>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</si>
  <si>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</si>
  <si>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</si>
  <si>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</si>
  <si>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</si>
  <si>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</si>
  <si>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</si>
  <si>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</si>
  <si>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</si>
  <si>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</si>
  <si>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</si>
  <si>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</si>
  <si>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</si>
  <si>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</si>
  <si>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</si>
  <si>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</si>
  <si>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</si>
  <si>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</si>
  <si>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</si>
  <si>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</si>
  <si>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</si>
  <si>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</si>
  <si>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</si>
  <si>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</si>
  <si>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</si>
  <si>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</si>
  <si>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</si>
  <si>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</si>
  <si>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</si>
  <si>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</si>
  <si>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</si>
  <si>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</si>
  <si>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</si>
  <si>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</si>
  <si>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</si>
  <si>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</si>
  <si>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</si>
  <si>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</si>
  <si>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</si>
  <si>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</si>
  <si>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</si>
  <si>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</si>
  <si>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</si>
  <si>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</si>
  <si>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</si>
  <si>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</si>
  <si>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</si>
  <si>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</si>
  <si>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</si>
  <si>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</si>
  <si>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</si>
  <si>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</si>
  <si>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</si>
  <si>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</si>
  <si>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</si>
  <si>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</si>
  <si>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</si>
  <si>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</si>
  <si>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</si>
  <si>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</si>
  <si>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</si>
  <si>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</si>
  <si>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</si>
  <si>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</si>
  <si>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</si>
  <si>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</si>
  <si>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</si>
  <si>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</si>
  <si>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</si>
  <si>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</si>
  <si>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</si>
  <si>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</si>
  <si>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</si>
  <si>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</si>
  <si>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</si>
  <si>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</si>
  <si>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</si>
  <si>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</si>
  <si>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</si>
  <si>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</si>
  <si>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</si>
  <si>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</si>
  <si>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</si>
  <si>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</si>
  <si>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</si>
  <si>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</si>
  <si>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</si>
  <si>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</si>
  <si>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</si>
  <si>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</si>
  <si>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</si>
  <si>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</si>
  <si>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</si>
  <si>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</si>
  <si>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</si>
  <si>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</si>
  <si>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</si>
  <si>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</si>
  <si>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</si>
  <si>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</si>
  <si>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</si>
  <si>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</si>
  <si>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</si>
  <si>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</si>
  <si>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</si>
  <si>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</si>
  <si>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</si>
  <si>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</si>
  <si>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</si>
  <si>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</si>
  <si>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</si>
  <si>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</si>
  <si>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</si>
  <si>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</si>
  <si>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</si>
  <si>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</si>
  <si>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</si>
  <si>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</si>
  <si>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</si>
  <si>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</si>
  <si>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</si>
  <si>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</si>
  <si>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</si>
  <si>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</si>
  <si>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</si>
  <si>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</si>
  <si>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</si>
  <si>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</si>
  <si>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</si>
  <si>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</si>
  <si>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</si>
  <si>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</si>
  <si>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</si>
  <si>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</si>
  <si>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</si>
  <si>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</si>
  <si>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</si>
  <si>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</si>
  <si>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</si>
  <si>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</si>
  <si>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</si>
  <si>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</si>
  <si>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</si>
  <si>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</si>
  <si>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</si>
  <si>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</si>
  <si>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</si>
  <si>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</si>
  <si>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</si>
  <si>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</si>
  <si>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</si>
  <si>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</si>
  <si>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</si>
  <si>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</si>
  <si>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</si>
  <si>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</si>
  <si>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</si>
  <si>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</si>
  <si>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</si>
  <si>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</si>
  <si>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</si>
  <si>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</si>
  <si>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</si>
  <si>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</si>
  <si>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</si>
  <si>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</si>
  <si>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</si>
  <si>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</si>
  <si>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</si>
  <si>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</si>
  <si>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</si>
  <si>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</si>
  <si>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</si>
  <si>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</si>
  <si>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</si>
  <si>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</si>
  <si>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</si>
  <si>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</si>
  <si>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</si>
  <si>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</si>
  <si>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</si>
  <si>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</si>
  <si>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</si>
  <si>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</si>
  <si>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</si>
  <si>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</si>
  <si>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</si>
  <si>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</si>
  <si>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</si>
  <si>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</si>
  <si>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</si>
  <si>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</si>
  <si>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</si>
  <si>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</si>
  <si>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</si>
  <si>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</si>
  <si>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</si>
  <si>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</si>
  <si>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</si>
  <si>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</si>
  <si>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</si>
  <si>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</si>
  <si>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</si>
  <si>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</si>
  <si>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</si>
  <si>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</si>
  <si>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</si>
  <si>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</si>
  <si>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</si>
  <si>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</si>
  <si>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</si>
  <si>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</si>
  <si>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</si>
  <si>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</si>
  <si>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</si>
  <si>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</si>
  <si>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</si>
  <si>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</si>
  <si>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</si>
  <si>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</si>
  <si>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</si>
  <si>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</si>
  <si>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</si>
  <si>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</si>
  <si>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</si>
  <si>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</si>
  <si>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</si>
  <si>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</si>
  <si>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</si>
  <si>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</si>
  <si>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</si>
  <si>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</si>
  <si>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</si>
  <si>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</si>
  <si>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</si>
  <si>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</si>
  <si>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</si>
  <si>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</si>
  <si>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</si>
  <si>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</si>
  <si>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</si>
  <si>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</si>
  <si>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</si>
  <si>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</si>
  <si>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</si>
  <si>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</si>
  <si>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</si>
  <si>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</si>
  <si>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</si>
  <si>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</si>
  <si>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</si>
  <si>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</si>
  <si>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</si>
  <si>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</si>
  <si>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</si>
  <si>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</si>
  <si>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</si>
  <si>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</si>
  <si>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</si>
  <si>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</si>
  <si>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</si>
  <si>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</si>
  <si>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</si>
  <si>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</si>
  <si>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</si>
  <si>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</si>
  <si>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</si>
  <si>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</si>
  <si>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</si>
  <si>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</si>
  <si>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</si>
  <si>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</si>
  <si>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</si>
  <si>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</si>
  <si>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</si>
  <si>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</si>
  <si>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</si>
  <si>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</si>
  <si>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</si>
  <si>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</si>
  <si>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</si>
  <si>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</si>
  <si>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</si>
  <si>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</si>
  <si>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</si>
  <si>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</si>
  <si>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</si>
  <si>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</si>
  <si>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</si>
  <si>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</si>
  <si>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</si>
  <si>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</si>
  <si>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</si>
  <si>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</si>
  <si>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</si>
  <si>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</si>
  <si>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</si>
  <si>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</si>
  <si>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</si>
  <si>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</si>
  <si>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</si>
  <si>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</si>
  <si>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</si>
  <si>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</si>
  <si>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</si>
  <si>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</si>
  <si>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</si>
  <si>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</si>
  <si>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</si>
  <si>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</si>
  <si>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</si>
  <si>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</si>
  <si>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</si>
  <si>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</si>
  <si>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</si>
  <si>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</si>
  <si>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</si>
  <si>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</si>
  <si>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</si>
  <si>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</si>
  <si>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</si>
  <si>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</si>
  <si>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</si>
  <si>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</si>
  <si>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</si>
  <si>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</si>
  <si>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</si>
  <si>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</si>
  <si>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</si>
  <si>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</si>
  <si>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</si>
  <si>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</si>
  <si>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</si>
  <si>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</si>
  <si>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</si>
  <si>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</si>
  <si>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</si>
  <si>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</si>
  <si>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</si>
  <si>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</si>
  <si>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</si>
  <si>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</si>
  <si>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</si>
  <si>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</si>
  <si>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</si>
  <si>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</si>
  <si>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</si>
  <si>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</si>
  <si>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</si>
  <si>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</si>
  <si>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</si>
  <si>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</si>
  <si>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</si>
  <si>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</si>
  <si>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</si>
  <si>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</si>
  <si>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</si>
  <si>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</si>
  <si>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</si>
  <si>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</si>
  <si>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</si>
  <si>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</si>
  <si>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</si>
  <si>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</si>
  <si>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</si>
  <si>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</si>
  <si>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</si>
  <si>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</si>
  <si>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</si>
  <si>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</si>
  <si>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</si>
  <si>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</si>
  <si>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</si>
  <si>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</si>
  <si>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</si>
  <si>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</si>
  <si>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</si>
  <si>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</si>
  <si>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</si>
  <si>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</si>
  <si>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</si>
  <si>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</si>
  <si>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</si>
  <si>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</si>
  <si>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</si>
  <si>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</si>
  <si>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</si>
  <si>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</si>
  <si>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</si>
  <si>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</si>
  <si>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</si>
  <si>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</si>
  <si>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</si>
  <si>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</si>
  <si>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</si>
  <si>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</si>
  <si>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</si>
  <si>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</si>
  <si>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</si>
  <si>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</si>
  <si>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</si>
  <si>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</si>
  <si>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</si>
  <si>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</si>
  <si>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</si>
  <si>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</si>
  <si>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</si>
  <si>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</si>
  <si>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</si>
  <si>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</si>
  <si>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</si>
  <si>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</si>
  <si>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</si>
  <si>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</si>
  <si>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</si>
  <si>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</si>
  <si>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</si>
  <si>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</si>
  <si>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</si>
  <si>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</si>
  <si>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</si>
  <si>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</si>
  <si>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</si>
  <si>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</si>
  <si>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</si>
  <si>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</si>
  <si>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</si>
  <si>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</si>
  <si>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</si>
  <si>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</si>
  <si>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</si>
  <si>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</si>
  <si>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</si>
  <si>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</si>
  <si>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</si>
  <si>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</si>
  <si>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</si>
  <si>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</si>
  <si>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</si>
  <si>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</si>
  <si>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</si>
  <si>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</si>
  <si>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</si>
  <si>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</si>
  <si>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</si>
  <si>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</si>
  <si>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</si>
  <si>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</si>
  <si>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</si>
  <si>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</si>
  <si>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</si>
  <si>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</si>
  <si>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</si>
  <si>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</si>
  <si>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</si>
  <si>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</si>
  <si>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</si>
  <si>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</si>
  <si>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</si>
  <si>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</si>
  <si>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</si>
  <si>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</si>
  <si>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</si>
  <si>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</si>
  <si>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</si>
  <si>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</si>
  <si>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</si>
  <si>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</si>
  <si>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</si>
  <si>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</si>
  <si>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</si>
  <si>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</si>
  <si>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</si>
  <si>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</si>
  <si>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</si>
  <si>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</si>
  <si>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</si>
  <si>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</si>
  <si>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</si>
  <si>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</si>
  <si>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</si>
  <si>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</si>
  <si>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</si>
  <si>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</si>
  <si>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</si>
  <si>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</si>
  <si>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</si>
  <si>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</si>
  <si>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</si>
  <si>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</si>
  <si>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</si>
  <si>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</si>
  <si>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</si>
  <si>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</si>
  <si>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</si>
  <si>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</si>
  <si>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</si>
  <si>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</si>
  <si>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</si>
  <si>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</si>
  <si>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</si>
  <si>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</si>
  <si>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</si>
  <si>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</si>
  <si>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</si>
  <si>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</si>
  <si>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</si>
  <si>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</si>
  <si>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</si>
  <si>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</si>
  <si>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</si>
  <si>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</si>
  <si>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</si>
  <si>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</si>
  <si>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</si>
  <si>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</si>
  <si>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</si>
  <si>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</si>
  <si>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</si>
  <si>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</si>
  <si>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</si>
  <si>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</si>
  <si>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</si>
  <si>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</si>
  <si>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</si>
  <si>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</si>
  <si>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</si>
  <si>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</si>
  <si>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</si>
  <si>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</si>
  <si>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</si>
  <si>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</si>
  <si>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</si>
  <si>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</si>
  <si>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</si>
  <si>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</si>
  <si>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</si>
  <si>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</si>
  <si>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</si>
  <si>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</si>
  <si>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</si>
  <si>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</si>
  <si>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</si>
  <si>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</si>
  <si>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</si>
  <si>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</si>
  <si>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</si>
  <si>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</si>
  <si>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</si>
  <si>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</si>
  <si>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</si>
  <si>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</si>
  <si>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</si>
  <si>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</si>
  <si>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</si>
  <si>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</si>
  <si>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</si>
  <si>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</si>
  <si>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</si>
  <si>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</si>
  <si>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</si>
  <si>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</si>
  <si>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</si>
  <si>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</si>
  <si>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</si>
  <si>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</si>
  <si>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</si>
  <si>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</si>
  <si>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</si>
  <si>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</si>
  <si>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</si>
  <si>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</si>
  <si>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</si>
  <si>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</si>
  <si>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</si>
  <si>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</si>
  <si>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</si>
  <si>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</si>
  <si>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</si>
  <si>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</si>
  <si>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</si>
  <si>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</si>
  <si>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</si>
  <si>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</si>
  <si>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</si>
  <si>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</si>
  <si>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</si>
  <si>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</si>
  <si>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</si>
  <si>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</si>
  <si>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</si>
  <si>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</si>
  <si>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</si>
  <si>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</si>
  <si>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</si>
  <si>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</si>
  <si>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</si>
  <si>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</si>
  <si>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</si>
  <si>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</si>
  <si>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</si>
  <si>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</si>
  <si>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</si>
  <si>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</si>
  <si>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</si>
  <si>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</si>
  <si>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</si>
  <si>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</si>
  <si>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</si>
  <si>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</si>
  <si>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</si>
  <si>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</si>
  <si>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</si>
  <si>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</si>
  <si>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</si>
  <si>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</si>
  <si>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</si>
  <si>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</si>
  <si>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</si>
  <si>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</si>
  <si>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</si>
  <si>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</si>
  <si>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</si>
  <si>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</si>
  <si>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</si>
  <si>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</si>
  <si>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</si>
  <si>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</si>
  <si>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</si>
  <si>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</si>
  <si>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</si>
  <si>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</si>
  <si>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</si>
  <si>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</si>
  <si>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</si>
  <si>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</si>
  <si>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</si>
  <si>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</si>
  <si>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</si>
  <si>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</si>
  <si>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</si>
  <si>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</si>
  <si>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</si>
  <si>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</si>
  <si>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</si>
  <si>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</si>
  <si>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</si>
  <si>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</si>
  <si>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</si>
  <si>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</si>
  <si>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</si>
  <si>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</si>
  <si>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</si>
  <si>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</si>
  <si>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</si>
  <si>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</si>
  <si>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</si>
  <si>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</si>
  <si>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</si>
  <si>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</si>
  <si>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</si>
  <si>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</si>
  <si>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</si>
  <si>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</si>
  <si>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</si>
  <si>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</si>
  <si>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</si>
  <si>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</si>
  <si>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</si>
  <si>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</si>
  <si>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</si>
  <si>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</si>
  <si>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</si>
  <si>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</si>
  <si>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</si>
  <si>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</si>
  <si>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</si>
  <si>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</si>
  <si>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</si>
  <si>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</si>
  <si>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</si>
  <si>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</si>
  <si>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</si>
  <si>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</si>
  <si>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</si>
  <si>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</si>
  <si>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</si>
  <si>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</si>
  <si>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</si>
  <si>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</si>
  <si>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</si>
  <si>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</si>
  <si>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</si>
  <si>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</si>
  <si>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</si>
  <si>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</si>
  <si>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</si>
  <si>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</si>
  <si>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</si>
  <si>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</si>
  <si>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</si>
  <si>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</si>
  <si>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</si>
  <si>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</si>
  <si>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</si>
  <si>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</si>
  <si>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</si>
  <si>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</si>
  <si>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</si>
  <si>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</si>
  <si>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</si>
  <si>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</si>
  <si>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</si>
  <si>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</si>
  <si>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</si>
  <si>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</si>
  <si>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</si>
  <si>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</si>
  <si>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</si>
  <si>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</si>
  <si>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</si>
  <si>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</si>
  <si>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</si>
  <si>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</si>
  <si>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</si>
  <si>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</si>
  <si>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</si>
  <si>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</si>
  <si>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</si>
  <si>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</si>
  <si>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</si>
  <si>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</si>
  <si>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</si>
  <si>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</si>
  <si>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</si>
  <si>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</si>
  <si>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</si>
  <si>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</si>
  <si>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</si>
  <si>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</si>
  <si>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</si>
  <si>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</si>
  <si>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</si>
  <si>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</si>
  <si>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</si>
  <si>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</si>
  <si>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</si>
  <si>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</si>
  <si>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</si>
  <si>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</si>
  <si>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</si>
  <si>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</si>
  <si>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</si>
  <si>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</si>
  <si>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</si>
  <si>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</si>
  <si>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</si>
  <si>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</si>
  <si>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</si>
  <si>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</si>
  <si>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</si>
  <si>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</si>
  <si>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</si>
  <si>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</si>
  <si>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</si>
  <si>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</si>
  <si>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</si>
  <si>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</si>
  <si>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</si>
  <si>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</si>
  <si>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</si>
  <si>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</si>
  <si>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</si>
  <si>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</si>
  <si>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</si>
  <si>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</si>
  <si>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</si>
  <si>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</si>
  <si>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</si>
  <si>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</si>
  <si>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</si>
  <si>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</si>
  <si>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</si>
  <si>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</si>
  <si>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</si>
  <si>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</si>
  <si>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</si>
  <si>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</si>
  <si>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</si>
  <si>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</si>
  <si>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</si>
  <si>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</si>
  <si>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</si>
  <si>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</si>
  <si>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</si>
  <si>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</si>
  <si>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</si>
  <si>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</si>
  <si>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</si>
  <si>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</si>
  <si>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</si>
  <si>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</si>
  <si>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</si>
  <si>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</si>
  <si>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</si>
  <si>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</si>
  <si>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</si>
  <si>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</si>
  <si>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</si>
  <si>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</si>
  <si>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</si>
  <si>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</si>
  <si>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</si>
  <si>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</si>
  <si>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</si>
  <si>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</si>
  <si>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</si>
  <si>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</si>
  <si>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</si>
  <si>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</si>
  <si>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</si>
  <si>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</si>
  <si>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</si>
  <si>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</si>
  <si>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</si>
  <si>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</si>
  <si>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</si>
  <si>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</si>
  <si>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</si>
  <si>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</si>
  <si>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</si>
  <si>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</si>
  <si>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</si>
  <si>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</si>
  <si>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</si>
  <si>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</si>
  <si>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</si>
  <si>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</si>
  <si>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</si>
  <si>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</si>
  <si>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</si>
  <si>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</si>
  <si>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</si>
  <si>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</si>
  <si>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</si>
  <si>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</si>
  <si>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</si>
  <si>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</si>
  <si>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</si>
  <si>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</si>
  <si>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</si>
  <si>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</si>
  <si>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</si>
  <si>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</si>
  <si>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</si>
  <si>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</si>
  <si>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</si>
  <si>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</si>
  <si>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</si>
  <si>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</si>
  <si>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</si>
  <si>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</si>
  <si>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</si>
  <si>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</si>
  <si>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</si>
  <si>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</si>
  <si>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</si>
  <si>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</si>
  <si>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</si>
  <si>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</si>
  <si>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</si>
  <si>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</si>
  <si>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</si>
  <si>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</si>
  <si>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</si>
  <si>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</si>
  <si>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</si>
  <si>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</si>
  <si>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</si>
  <si>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</si>
  <si>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</si>
  <si>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</si>
  <si>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</si>
  <si>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</si>
  <si>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</si>
  <si>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</si>
  <si>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</si>
  <si>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</si>
  <si>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</si>
  <si>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</si>
  <si>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</si>
  <si>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</si>
  <si>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</si>
  <si>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</si>
  <si>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</si>
  <si>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</si>
  <si>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</si>
  <si>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</si>
  <si>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</si>
  <si>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</si>
  <si>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</si>
  <si>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</si>
  <si>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</si>
  <si>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</si>
  <si>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</si>
  <si>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</si>
  <si>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</si>
  <si>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</si>
  <si>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</si>
  <si>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</si>
  <si>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</si>
  <si>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</si>
  <si>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</si>
  <si>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</si>
  <si>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</si>
  <si>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</si>
  <si>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</si>
  <si>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</si>
  <si>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</si>
  <si>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</si>
  <si>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</si>
  <si>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</si>
  <si>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</si>
  <si>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</si>
  <si>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</si>
  <si>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</si>
  <si>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</si>
  <si>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</si>
  <si>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</si>
  <si>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</si>
  <si>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</si>
  <si>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</si>
  <si>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</si>
  <si>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</si>
  <si>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</si>
  <si>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</si>
  <si>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</si>
  <si>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</si>
  <si>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</si>
  <si>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</si>
  <si>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</si>
  <si>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</si>
  <si>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</si>
  <si>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</si>
  <si>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</si>
  <si>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</si>
  <si>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</si>
  <si>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</si>
  <si>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</si>
  <si>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</si>
  <si>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</si>
  <si>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</si>
  <si>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</si>
  <si>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</si>
  <si>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</si>
  <si>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</si>
  <si>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</si>
  <si>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</si>
  <si>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</si>
  <si>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</si>
  <si>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</si>
  <si>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</si>
  <si>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</si>
  <si>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</si>
  <si>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</si>
  <si>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</si>
  <si>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</si>
  <si>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</si>
  <si>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</si>
  <si>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</si>
  <si>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</si>
  <si>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</si>
  <si>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</si>
  <si>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</si>
  <si>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</si>
  <si>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</si>
  <si>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</si>
  <si>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</si>
  <si>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</si>
  <si>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</si>
  <si>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</si>
  <si>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</si>
  <si>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</si>
  <si>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</si>
  <si>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</si>
  <si>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</si>
  <si>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</si>
  <si>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</si>
  <si>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</si>
  <si>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</si>
  <si>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</si>
  <si>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</si>
  <si>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</si>
  <si>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</si>
  <si>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</si>
  <si>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</si>
  <si>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</si>
  <si>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</si>
  <si>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</si>
  <si>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</si>
  <si>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</si>
  <si>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</si>
  <si>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</si>
  <si>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</si>
  <si>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</si>
  <si>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</si>
  <si>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</si>
  <si>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</si>
  <si>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</si>
  <si>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</si>
  <si>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</si>
  <si>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</si>
  <si>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</si>
  <si>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</si>
  <si>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</si>
  <si>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</si>
  <si>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</si>
  <si>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</si>
  <si>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</si>
  <si>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</si>
  <si>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</si>
  <si>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</si>
  <si>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</si>
  <si>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</si>
  <si>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</si>
  <si>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</si>
  <si>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</si>
  <si>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</si>
  <si>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</si>
  <si>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</si>
  <si>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</si>
  <si>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</si>
  <si>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</si>
  <si>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</si>
  <si>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</si>
  <si>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</si>
  <si>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</si>
  <si>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</si>
  <si>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</si>
  <si>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</si>
  <si>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</si>
  <si>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</si>
  <si>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</si>
  <si>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</si>
  <si>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</si>
  <si>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</si>
  <si>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</si>
  <si>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</si>
  <si>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</si>
  <si>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</si>
  <si>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</si>
  <si>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</si>
  <si>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</si>
  <si>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</si>
  <si>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</si>
  <si>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</si>
  <si>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</si>
  <si>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</si>
  <si>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</si>
  <si>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</si>
  <si>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</si>
  <si>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</si>
  <si>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</si>
  <si>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</si>
  <si>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</si>
  <si>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</si>
  <si>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</si>
  <si>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</si>
  <si>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</si>
  <si>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</si>
  <si>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</si>
  <si>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</si>
  <si>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</si>
  <si>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</si>
  <si>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</si>
  <si>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</si>
  <si>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</si>
  <si>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</si>
  <si>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</si>
  <si>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</si>
  <si>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</si>
  <si>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</si>
  <si>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</si>
  <si>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</si>
  <si>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</si>
  <si>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</si>
  <si>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</si>
  <si>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</si>
  <si>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</si>
  <si>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</si>
  <si>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</si>
  <si>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</si>
  <si>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</si>
  <si>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</si>
  <si>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</si>
  <si>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</si>
  <si>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</si>
  <si>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</si>
  <si>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</si>
  <si>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</si>
  <si>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</si>
  <si>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</si>
  <si>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</si>
  <si>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</si>
  <si>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</si>
  <si>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</si>
  <si>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</si>
  <si>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</si>
  <si>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</si>
  <si>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</si>
  <si>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</si>
  <si>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</si>
  <si>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</si>
  <si>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</si>
  <si>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</si>
  <si>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</si>
  <si>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</si>
  <si>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</si>
  <si>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</si>
  <si>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</si>
  <si>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</si>
  <si>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</si>
  <si>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</si>
  <si>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</si>
  <si>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</si>
  <si>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</si>
  <si>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</si>
  <si>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</si>
  <si>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</si>
  <si>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</si>
  <si>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</si>
  <si>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</si>
  <si>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</si>
  <si>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</si>
  <si>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</si>
  <si>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</si>
  <si>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</si>
  <si>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</si>
  <si>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</si>
  <si>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</si>
  <si>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</si>
  <si>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</si>
  <si>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</si>
  <si>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</si>
  <si>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</si>
  <si>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</si>
  <si>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</si>
  <si>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</si>
  <si>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</si>
  <si>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</si>
  <si>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</si>
  <si>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</si>
  <si>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</si>
  <si>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</si>
  <si>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</si>
  <si>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</si>
  <si>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</si>
  <si>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</si>
  <si>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</si>
  <si>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</si>
  <si>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</si>
  <si>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</si>
  <si>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</si>
  <si>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</si>
  <si>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</si>
  <si>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</si>
  <si>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</si>
  <si>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</si>
  <si>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</si>
  <si>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</si>
  <si>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</si>
  <si>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</si>
  <si>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</si>
  <si>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</si>
  <si>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</si>
  <si>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</si>
  <si>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</si>
  <si>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</si>
  <si>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</si>
  <si>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</si>
  <si>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</si>
  <si>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</si>
  <si>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</si>
  <si>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</si>
  <si>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</si>
  <si>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</si>
  <si>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</si>
  <si>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</si>
  <si>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</si>
  <si>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</si>
  <si>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</si>
  <si>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</si>
  <si>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</si>
  <si>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</si>
  <si>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</si>
  <si>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</si>
  <si>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</si>
  <si>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</si>
  <si>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</si>
  <si>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</si>
  <si>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</si>
  <si>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</si>
  <si>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</si>
  <si>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</si>
  <si>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</si>
  <si>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</si>
  <si>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</si>
  <si>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</si>
  <si>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</si>
  <si>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</si>
  <si>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</si>
  <si>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</si>
  <si>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</si>
  <si>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</si>
  <si>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</si>
  <si>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</si>
  <si>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</si>
  <si>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</si>
  <si>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</si>
  <si>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</si>
  <si>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</si>
  <si>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</si>
  <si>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</si>
  <si>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</si>
  <si>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</si>
  <si>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</si>
  <si>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</si>
  <si>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</si>
  <si>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</si>
  <si>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</si>
  <si>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</si>
  <si>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</si>
  <si>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</si>
  <si>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</si>
  <si>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</si>
  <si>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</si>
  <si>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</si>
  <si>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</si>
  <si>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</si>
  <si>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</si>
  <si>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</si>
  <si>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</si>
  <si>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</si>
  <si>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</si>
  <si>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</si>
  <si>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</si>
  <si>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</si>
  <si>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</si>
  <si>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</si>
  <si>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</si>
  <si>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</si>
  <si>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</si>
  <si>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</si>
  <si>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</si>
  <si>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</si>
  <si>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</si>
  <si>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</si>
  <si>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</si>
  <si>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</si>
  <si>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</si>
  <si>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</si>
  <si>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</si>
  <si>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</si>
  <si>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</si>
  <si>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</si>
  <si>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</si>
  <si>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</si>
  <si>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</si>
  <si>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</si>
  <si>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</si>
  <si>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</si>
  <si>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</si>
  <si>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</si>
  <si>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</si>
  <si>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</si>
  <si>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</si>
  <si>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</si>
  <si>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</si>
  <si>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</si>
  <si>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</si>
  <si>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</si>
  <si>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</si>
  <si>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</si>
  <si>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</si>
  <si>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</si>
  <si>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</si>
  <si>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</si>
  <si>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</si>
  <si>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</si>
  <si>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</si>
  <si>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</si>
  <si>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</si>
  <si>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</si>
  <si>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</si>
  <si>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</si>
  <si>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</si>
  <si>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</si>
  <si>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</si>
  <si>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</si>
  <si>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</si>
  <si>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</si>
  <si>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</si>
  <si>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</si>
  <si>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</si>
  <si>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</si>
  <si>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</si>
  <si>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</si>
  <si>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</si>
  <si>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</si>
  <si>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</si>
  <si>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</si>
  <si>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</si>
  <si>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</si>
  <si>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</si>
  <si>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</si>
  <si>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</si>
  <si>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</si>
  <si>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</si>
  <si>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</si>
  <si>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</si>
  <si>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</si>
  <si>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</si>
  <si>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</si>
  <si>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</si>
  <si>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</si>
  <si>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</si>
  <si>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</si>
  <si>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</si>
  <si>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</si>
  <si>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</si>
  <si>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</si>
  <si>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</si>
  <si>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</si>
  <si>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</si>
  <si>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</si>
  <si>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</si>
  <si>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</si>
  <si>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</si>
  <si>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</si>
  <si>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</si>
  <si>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</si>
  <si>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</si>
  <si>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</si>
  <si>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</si>
  <si>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</si>
  <si>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</si>
  <si>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</si>
  <si>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</si>
  <si>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</si>
  <si>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</si>
  <si>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</si>
  <si>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</si>
  <si>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</si>
  <si>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</si>
  <si>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</si>
  <si>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</si>
  <si>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</si>
  <si>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</si>
  <si>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</si>
  <si>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</si>
  <si>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</si>
  <si>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</si>
  <si>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</si>
  <si>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</si>
  <si>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</si>
  <si>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</si>
  <si>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</si>
  <si>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</si>
  <si>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</si>
  <si>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</si>
  <si>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</si>
  <si>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</si>
  <si>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</si>
  <si>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</si>
  <si>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</si>
  <si>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</si>
  <si>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</si>
  <si>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</si>
  <si>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</si>
  <si>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</si>
  <si>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</si>
  <si>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</si>
  <si>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</si>
  <si>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</si>
  <si>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</si>
  <si>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</si>
  <si>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</si>
  <si>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</si>
  <si>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</si>
  <si>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</si>
  <si>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</si>
  <si>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</si>
  <si>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</si>
  <si>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</si>
  <si>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</si>
  <si>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</si>
  <si>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</si>
  <si>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</si>
  <si>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</si>
  <si>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</si>
  <si>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</si>
  <si>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</si>
  <si>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</si>
  <si>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</si>
  <si>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</si>
  <si>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</si>
  <si>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</si>
  <si>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</si>
  <si>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</si>
  <si>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</si>
  <si>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</si>
  <si>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</si>
  <si>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</si>
  <si>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</si>
  <si>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</si>
  <si>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</si>
  <si>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</si>
  <si>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</si>
  <si>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</si>
  <si>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</si>
  <si>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</si>
  <si>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</si>
  <si>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</si>
  <si>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</si>
  <si>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</si>
  <si>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</si>
  <si>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</si>
  <si>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</si>
  <si>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</si>
  <si>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</si>
  <si>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</si>
  <si>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</si>
  <si>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</si>
  <si>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</si>
  <si>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</si>
  <si>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</si>
  <si>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</si>
  <si>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</si>
  <si>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</si>
  <si>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</si>
  <si>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</si>
  <si>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</si>
  <si>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</si>
  <si>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</si>
  <si>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</si>
  <si>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</si>
  <si>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</si>
  <si>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</si>
  <si>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</si>
  <si>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</si>
  <si>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</si>
  <si>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</si>
  <si>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</si>
  <si>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</si>
  <si>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</si>
  <si>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</si>
  <si>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</si>
  <si>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</si>
  <si>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</si>
  <si>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</si>
  <si>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</si>
  <si>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</si>
  <si>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</si>
  <si>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</si>
  <si>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</si>
  <si>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</si>
  <si>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</si>
  <si>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</si>
  <si>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</si>
  <si>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</si>
  <si>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</si>
  <si>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</si>
  <si>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</si>
  <si>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</si>
  <si>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</si>
  <si>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</si>
  <si>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</si>
  <si>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</si>
  <si>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</si>
  <si>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</si>
  <si>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</si>
  <si>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</si>
  <si>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</si>
  <si>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</si>
  <si>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</si>
  <si>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</si>
  <si>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</si>
  <si>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</si>
  <si>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</si>
  <si>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</si>
  <si>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</si>
  <si>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</si>
  <si>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</si>
  <si>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</si>
  <si>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</si>
  <si>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</si>
  <si>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</si>
  <si>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</si>
  <si>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</si>
  <si>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</si>
  <si>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</si>
  <si>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</si>
  <si>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</si>
  <si>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</si>
  <si>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</si>
  <si>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</si>
  <si>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</si>
  <si>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</si>
  <si>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</si>
  <si>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</si>
  <si>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</si>
  <si>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</si>
  <si>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</si>
  <si>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</si>
  <si>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</si>
  <si>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</si>
  <si>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</si>
  <si>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</si>
  <si>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</si>
  <si>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</si>
  <si>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</si>
  <si>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</si>
  <si>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</si>
  <si>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</si>
  <si>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</si>
  <si>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</si>
  <si>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</si>
  <si>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</si>
  <si>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</si>
  <si>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</si>
  <si>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</si>
  <si>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</si>
  <si>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</si>
  <si>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</si>
  <si>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</si>
  <si>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</si>
  <si>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</si>
  <si>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</si>
  <si>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</si>
  <si>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</si>
  <si>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</si>
  <si>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</si>
  <si>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</si>
  <si>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</si>
  <si>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</si>
  <si>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</si>
  <si>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</si>
  <si>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</si>
  <si>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</si>
  <si>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</si>
  <si>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</si>
  <si>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</si>
  <si>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</si>
  <si>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</si>
  <si>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</si>
  <si>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</si>
  <si>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</si>
  <si>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</si>
  <si>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</si>
  <si>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</si>
  <si>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</si>
  <si>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</si>
  <si>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</si>
  <si>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</si>
  <si>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</si>
  <si>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</si>
  <si>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</si>
  <si>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</si>
  <si>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</si>
  <si>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</si>
  <si>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</si>
  <si>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</si>
  <si>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</si>
  <si>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</si>
  <si>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</si>
  <si>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</si>
  <si>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</si>
  <si>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</si>
  <si>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</si>
  <si>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</si>
  <si>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</si>
  <si>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</si>
  <si>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</si>
  <si>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</si>
  <si>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</si>
  <si>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</si>
  <si>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</si>
  <si>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</si>
  <si>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</si>
  <si>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</si>
  <si>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</si>
  <si>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</si>
  <si>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</si>
  <si>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</si>
  <si>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</si>
  <si>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</si>
  <si>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</si>
  <si>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</si>
  <si>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</si>
  <si>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</si>
  <si>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</si>
  <si>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</si>
  <si>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</si>
  <si>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</si>
  <si>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</si>
  <si>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</si>
  <si>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</si>
  <si>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</si>
  <si>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</si>
  <si>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</si>
  <si>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</si>
  <si>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</si>
  <si>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</si>
  <si>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</si>
  <si>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</si>
  <si>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</si>
  <si>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</si>
  <si>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</si>
  <si>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</si>
  <si>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</si>
  <si>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</si>
  <si>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</si>
  <si>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</si>
  <si>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</si>
  <si>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</si>
  <si>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</si>
  <si>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</si>
  <si>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</si>
  <si>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</si>
  <si>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</si>
  <si>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</si>
  <si>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</si>
  <si>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</si>
  <si>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</si>
  <si>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</si>
  <si>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</si>
  <si>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</si>
  <si>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</si>
  <si>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</si>
  <si>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</si>
  <si>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</si>
  <si>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</si>
  <si>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</si>
  <si>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</si>
  <si>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</si>
  <si>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</si>
  <si>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</si>
  <si>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</si>
  <si>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</si>
  <si>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</si>
  <si>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</si>
  <si>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</si>
  <si>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</si>
  <si>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</si>
  <si>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</si>
  <si>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</si>
  <si>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</si>
  <si>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</si>
  <si>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</si>
  <si>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</si>
  <si>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</si>
  <si>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</si>
  <si>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</si>
  <si>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</si>
  <si>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</si>
  <si>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</si>
  <si>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</si>
  <si>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</si>
  <si>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</si>
  <si>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</si>
  <si>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</si>
  <si>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</si>
  <si>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</si>
  <si>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</si>
  <si>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</si>
  <si>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</si>
  <si>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</si>
  <si>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</si>
  <si>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</si>
  <si>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</si>
  <si>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</si>
  <si>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</si>
  <si>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</si>
  <si>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</si>
  <si>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</si>
  <si>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</si>
  <si>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</si>
  <si>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</si>
  <si>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</si>
  <si>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</si>
  <si>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</si>
  <si>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</si>
  <si>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</si>
  <si>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</si>
  <si>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</si>
  <si>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</si>
  <si>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</si>
  <si>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</si>
  <si>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</si>
  <si>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</si>
  <si>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</si>
  <si>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</si>
  <si>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</si>
  <si>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</si>
  <si>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</si>
  <si>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</si>
  <si>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</si>
  <si>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</si>
  <si>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</si>
  <si>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</si>
  <si>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</si>
  <si>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</si>
  <si>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</si>
  <si>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</si>
  <si>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</si>
  <si>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</si>
  <si>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</si>
  <si>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</si>
  <si>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</si>
  <si>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</si>
  <si>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</si>
  <si>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</si>
  <si>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</si>
  <si>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</si>
  <si>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</si>
  <si>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</si>
  <si>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</si>
  <si>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</si>
  <si>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</si>
  <si>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</si>
  <si>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</si>
  <si>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</si>
  <si>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</si>
  <si>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</si>
  <si>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</si>
  <si>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</si>
  <si>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</si>
  <si>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</si>
  <si>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</si>
  <si>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</si>
  <si>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</si>
  <si>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</si>
  <si>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</si>
  <si>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</si>
  <si>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</si>
  <si>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</si>
  <si>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</si>
  <si>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</si>
  <si>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</si>
  <si>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</si>
  <si>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</si>
  <si>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</si>
  <si>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</si>
  <si>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</si>
  <si>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</si>
  <si>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</si>
  <si>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</si>
  <si>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</si>
  <si>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</si>
  <si>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</si>
  <si>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</si>
  <si>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</si>
  <si>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</si>
  <si>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</si>
  <si>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</si>
  <si>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</si>
  <si>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</si>
  <si>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</si>
  <si>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</si>
  <si>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</si>
  <si>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</si>
  <si>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</si>
  <si>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</si>
  <si>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</si>
  <si>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</si>
  <si>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</si>
  <si>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</si>
  <si>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</si>
  <si>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</si>
  <si>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</si>
  <si>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</si>
  <si>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</si>
  <si>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</si>
  <si>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</si>
  <si>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</si>
  <si>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</si>
  <si>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</si>
  <si>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</si>
  <si>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</si>
  <si>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</si>
  <si>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</si>
  <si>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</si>
  <si>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</si>
  <si>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</si>
  <si>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</si>
  <si>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</si>
  <si>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</si>
  <si>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</si>
  <si>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</si>
  <si>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</si>
  <si>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</si>
  <si>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</si>
  <si>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</si>
  <si>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</si>
  <si>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</si>
  <si>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</si>
  <si>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</si>
  <si>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</si>
  <si>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</si>
  <si>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</si>
  <si>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</si>
  <si>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</si>
  <si>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</si>
  <si>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</si>
  <si>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</si>
  <si>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</si>
  <si>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</si>
  <si>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</si>
  <si>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</si>
  <si>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</si>
  <si>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</si>
  <si>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</si>
  <si>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</si>
  <si>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</si>
  <si>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</si>
  <si>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</si>
  <si>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</si>
  <si>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</si>
  <si>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</si>
  <si>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</si>
  <si>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</si>
  <si>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</si>
  <si>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</si>
  <si>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</si>
  <si>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</si>
  <si>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</si>
  <si>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</si>
  <si>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</si>
  <si>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</si>
  <si>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</si>
  <si>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</si>
  <si>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</si>
  <si>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</si>
  <si>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</si>
  <si>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</si>
  <si>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</si>
  <si>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</si>
  <si>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</si>
  <si>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</si>
  <si>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</si>
  <si>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</si>
  <si>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</si>
  <si>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</si>
  <si>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</si>
  <si>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</si>
  <si>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</si>
  <si>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</si>
  <si>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</si>
  <si>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</si>
  <si>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</si>
  <si>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</si>
  <si>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</si>
  <si>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</si>
  <si>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</si>
  <si>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</si>
  <si>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</si>
  <si>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</si>
  <si>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</si>
  <si>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</si>
  <si>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</si>
  <si>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</si>
  <si>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</si>
  <si>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</si>
  <si>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</si>
  <si>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</si>
  <si>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</si>
  <si>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</si>
  <si>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</si>
  <si>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</si>
  <si>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</si>
  <si>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</si>
  <si>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</si>
  <si>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</si>
  <si>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</si>
  <si>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</si>
  <si>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</si>
  <si>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</si>
  <si>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</si>
  <si>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</si>
  <si>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</si>
  <si>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</si>
  <si>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</si>
  <si>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</si>
  <si>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</si>
  <si>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</si>
  <si>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</si>
  <si>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</si>
  <si>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</si>
  <si>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</si>
  <si>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</si>
  <si>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</si>
  <si>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</si>
  <si>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</si>
  <si>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</si>
  <si>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</si>
  <si>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</si>
  <si>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</si>
  <si>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</si>
  <si>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</si>
  <si>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</si>
  <si>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</si>
  <si>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</si>
  <si>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</si>
  <si>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</si>
  <si>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</si>
  <si>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</si>
  <si>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</si>
  <si>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</si>
  <si>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</si>
  <si>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</si>
  <si>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</si>
  <si>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</si>
  <si>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</si>
  <si>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</si>
  <si>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</si>
  <si>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</si>
  <si>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</si>
  <si>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</si>
  <si>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</si>
  <si>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</si>
  <si>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</si>
  <si>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</si>
  <si>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</si>
  <si>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</si>
  <si>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</si>
  <si>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</si>
  <si>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</si>
  <si>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</si>
  <si>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</si>
  <si>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</si>
  <si>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</si>
  <si>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</si>
  <si>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</si>
  <si>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</si>
  <si>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</si>
  <si>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</si>
  <si>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</si>
  <si>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</si>
  <si>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</si>
  <si>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</si>
  <si>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</si>
  <si>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</si>
  <si>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</si>
  <si>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</si>
  <si>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</si>
  <si>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</si>
  <si>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</si>
  <si>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</si>
  <si>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</si>
  <si>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</si>
  <si>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</si>
  <si>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</si>
  <si>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</si>
  <si>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</si>
  <si>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</si>
  <si>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</si>
  <si>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</si>
  <si>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</si>
  <si>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</si>
  <si>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</si>
  <si>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</si>
  <si>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</si>
  <si>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</si>
  <si>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</si>
  <si>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</si>
  <si>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</si>
  <si>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</si>
  <si>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</si>
  <si>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</si>
  <si>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</si>
  <si>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</si>
  <si>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</si>
  <si>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</si>
  <si>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</si>
  <si>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</si>
  <si>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</si>
  <si>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</si>
  <si>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</si>
  <si>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</si>
  <si>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</si>
  <si>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</si>
  <si>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</si>
  <si>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</si>
  <si>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</si>
  <si>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</si>
  <si>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</si>
  <si>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</si>
  <si>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</si>
  <si>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</si>
  <si>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</si>
  <si>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</si>
  <si>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</si>
  <si>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</si>
  <si>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</si>
  <si>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</si>
  <si>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</si>
  <si>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</si>
  <si>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</si>
  <si>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</si>
  <si>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</si>
  <si>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</si>
  <si>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</si>
  <si>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</si>
  <si>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</si>
  <si>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</si>
  <si>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</si>
  <si>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</si>
  <si>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</si>
  <si>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</si>
  <si>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</si>
  <si>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</si>
  <si>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</si>
  <si>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</si>
  <si>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</si>
  <si>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</si>
  <si>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</si>
  <si>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</si>
  <si>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</si>
  <si>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</si>
  <si>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</si>
  <si>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</si>
  <si>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</si>
  <si>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</si>
  <si>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</si>
  <si>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</si>
  <si>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</si>
  <si>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</si>
  <si>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</si>
  <si>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</si>
  <si>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</si>
  <si>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</si>
  <si>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</si>
  <si>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</si>
  <si>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</si>
  <si>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</si>
  <si>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</si>
  <si>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</si>
  <si>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</si>
  <si>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</si>
  <si>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</si>
  <si>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</si>
  <si>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</si>
  <si>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</si>
  <si>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</si>
  <si>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</si>
  <si>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</si>
  <si>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</si>
  <si>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</si>
  <si>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</si>
  <si>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</si>
  <si>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</si>
  <si>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</si>
  <si>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</si>
  <si>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</si>
  <si>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</si>
  <si>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</si>
  <si>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</si>
  <si>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</si>
  <si>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</si>
  <si>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</si>
  <si>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</si>
  <si>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</si>
  <si>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</si>
  <si>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</si>
  <si>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</si>
  <si>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</si>
  <si>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</si>
  <si>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</si>
  <si>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</si>
  <si>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</si>
  <si>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</si>
  <si>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</si>
  <si>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</si>
  <si>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</si>
  <si>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</si>
  <si>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</si>
  <si>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</si>
  <si>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</si>
  <si>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</si>
  <si>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</si>
  <si>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</si>
  <si>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</si>
  <si>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</si>
  <si>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</si>
  <si>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</si>
  <si>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</si>
  <si>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</si>
  <si>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</si>
  <si>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</si>
  <si>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</si>
  <si>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</si>
  <si>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</si>
  <si>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</si>
  <si>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</si>
  <si>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</si>
  <si>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</si>
  <si>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</si>
  <si>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</si>
  <si>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</si>
  <si>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</si>
  <si>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</si>
  <si>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</si>
  <si>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</si>
  <si>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</si>
  <si>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</si>
  <si>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</si>
  <si>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</si>
  <si>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</si>
  <si>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</si>
  <si>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</si>
  <si>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</si>
  <si>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</si>
  <si>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</si>
  <si>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</si>
  <si>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</si>
  <si>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</si>
  <si>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</si>
  <si>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</si>
  <si>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</si>
  <si>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</si>
  <si>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</si>
  <si>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</si>
  <si>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</si>
  <si>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</si>
  <si>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</si>
  <si>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</si>
  <si>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</si>
  <si>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</si>
  <si>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</si>
  <si>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</si>
  <si>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</si>
  <si>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</si>
  <si>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</si>
  <si>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</si>
  <si>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</si>
  <si>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</si>
  <si>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</si>
  <si>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</si>
  <si>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</si>
  <si>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</si>
  <si>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</si>
  <si>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</si>
  <si>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</si>
  <si>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</si>
  <si>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</si>
  <si>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</si>
  <si>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</si>
  <si>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</si>
  <si>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</si>
  <si>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</si>
  <si>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</si>
  <si>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</si>
  <si>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</si>
  <si>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</si>
  <si>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</si>
  <si>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</si>
  <si>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</si>
  <si>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</si>
  <si>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</si>
  <si>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</si>
  <si>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</si>
  <si>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</si>
  <si>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</si>
  <si>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</si>
  <si>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</si>
  <si>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</si>
  <si>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</si>
  <si>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</si>
  <si>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</si>
  <si>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</si>
  <si>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</si>
  <si>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</si>
  <si>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</si>
  <si>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</si>
  <si>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</si>
  <si>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</si>
  <si>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</si>
  <si>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</si>
  <si>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</si>
  <si>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</si>
  <si>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</si>
  <si>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</si>
  <si>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</si>
  <si>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</si>
  <si>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</si>
  <si>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</si>
  <si>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</si>
  <si>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</si>
  <si>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</si>
  <si>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</si>
  <si>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</si>
  <si>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</si>
  <si>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</si>
  <si>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</si>
  <si>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</si>
  <si>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</si>
  <si>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</si>
  <si>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</si>
  <si>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</si>
  <si>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</si>
  <si>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</si>
  <si>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</si>
  <si>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</si>
  <si>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</si>
  <si>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</si>
  <si>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</si>
  <si>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</si>
  <si>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</si>
  <si>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</si>
  <si>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</si>
  <si>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</si>
  <si>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</si>
  <si>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</si>
  <si>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</si>
  <si>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</si>
  <si>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</si>
  <si>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</si>
  <si>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</si>
  <si>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</si>
  <si>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</si>
  <si>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</si>
  <si>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</si>
  <si>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</si>
  <si>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</si>
  <si>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</si>
  <si>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</si>
  <si>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</si>
  <si>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</si>
  <si>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</si>
  <si>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</si>
  <si>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</si>
  <si>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</si>
  <si>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</si>
  <si>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</si>
  <si>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</si>
  <si>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</si>
  <si>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</si>
  <si>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</si>
  <si>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</si>
  <si>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</si>
  <si>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</si>
  <si>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</si>
  <si>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</si>
  <si>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</si>
  <si>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</si>
  <si>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</si>
  <si>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</si>
  <si>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</si>
  <si>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</si>
  <si>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</si>
  <si>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</si>
  <si>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</si>
  <si>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</si>
  <si>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</si>
  <si>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</si>
  <si>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</si>
  <si>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</si>
  <si>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</si>
  <si>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</si>
  <si>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</si>
  <si>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</si>
  <si>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</si>
  <si>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</si>
  <si>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</si>
  <si>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</si>
  <si>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</si>
  <si>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</si>
  <si>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</si>
  <si>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</si>
  <si>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</si>
  <si>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</si>
  <si>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</si>
  <si>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</si>
  <si>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</si>
  <si>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</si>
  <si>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</si>
  <si>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</si>
  <si>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</si>
  <si>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</si>
  <si>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</si>
  <si>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</si>
  <si>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</si>
  <si>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</si>
  <si>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</si>
  <si>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</si>
  <si>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</si>
  <si>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</si>
  <si>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</si>
  <si>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</si>
  <si>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</si>
  <si>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</si>
  <si>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</si>
  <si>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</si>
  <si>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</si>
  <si>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</si>
  <si>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</si>
  <si>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</si>
  <si>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</si>
  <si>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</si>
  <si>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</si>
  <si>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</si>
  <si>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</si>
  <si>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</si>
  <si>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</si>
  <si>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</si>
  <si>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</si>
  <si>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</si>
  <si>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</si>
  <si>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</si>
  <si>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</si>
  <si>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</si>
  <si>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</si>
  <si>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</si>
  <si>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</si>
  <si>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</si>
  <si>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</si>
  <si>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</si>
  <si>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</si>
  <si>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</si>
  <si>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</si>
  <si>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</si>
  <si>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</si>
  <si>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</si>
  <si>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</si>
  <si>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</si>
  <si>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</si>
  <si>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</si>
  <si>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</si>
  <si>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</si>
  <si>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</si>
  <si>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</si>
  <si>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</si>
  <si>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</si>
  <si>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</si>
  <si>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</si>
  <si>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</si>
  <si>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</si>
  <si>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</si>
  <si>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</si>
  <si>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</si>
  <si>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</si>
  <si>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</si>
  <si>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</si>
  <si>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</si>
  <si>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</si>
  <si>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</si>
  <si>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</si>
  <si>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</si>
  <si>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</si>
  <si>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</si>
  <si>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</si>
  <si>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</si>
  <si>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</si>
  <si>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</si>
  <si>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</si>
  <si>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</si>
  <si>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</si>
  <si>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</si>
  <si>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</si>
  <si>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</si>
  <si>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</si>
  <si>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</si>
  <si>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</si>
  <si>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</si>
  <si>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</si>
  <si>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</si>
  <si>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</si>
  <si>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</si>
  <si>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</si>
  <si>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</si>
  <si>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</si>
  <si>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</si>
  <si>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</si>
  <si>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</si>
  <si>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</si>
  <si>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</si>
  <si>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</si>
  <si>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</si>
  <si>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</si>
  <si>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</si>
  <si>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</si>
  <si>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</si>
  <si>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</si>
  <si>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</si>
  <si>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</si>
  <si>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</si>
  <si>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</si>
  <si>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</si>
  <si>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</si>
  <si>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</si>
  <si>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</si>
  <si>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</si>
  <si>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</si>
  <si>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</si>
  <si>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</si>
  <si>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</si>
  <si>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</si>
  <si>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</si>
  <si>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</si>
  <si>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</si>
  <si>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</si>
  <si>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</si>
  <si>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</si>
  <si>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</si>
  <si>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</si>
  <si>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</si>
  <si>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</si>
  <si>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</si>
  <si>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</si>
  <si>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</si>
  <si>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</si>
  <si>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</si>
  <si>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</si>
  <si>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</si>
  <si>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</si>
  <si>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</si>
  <si>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</si>
  <si>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</si>
  <si>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</si>
  <si>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</si>
  <si>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</si>
  <si>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</si>
  <si>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</si>
  <si>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</si>
  <si>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</si>
  <si>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</si>
  <si>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</si>
  <si>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</si>
  <si>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</si>
  <si>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</si>
  <si>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</si>
  <si>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</si>
  <si>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</si>
  <si>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</si>
  <si>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</si>
  <si>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</si>
  <si>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</si>
  <si>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</si>
  <si>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</si>
  <si>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</si>
  <si>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</si>
  <si>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</si>
  <si>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</si>
  <si>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</si>
  <si>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</si>
  <si>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</si>
  <si>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</si>
  <si>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</si>
  <si>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</si>
  <si>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</si>
  <si>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</si>
  <si>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</si>
  <si>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</si>
  <si>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</si>
  <si>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</si>
  <si>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</si>
  <si>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</si>
  <si>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</si>
  <si>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</si>
  <si>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</si>
  <si>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</si>
  <si>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</si>
  <si>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</si>
  <si>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</si>
  <si>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</si>
  <si>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</si>
  <si>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</si>
  <si>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</si>
  <si>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</si>
  <si>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</si>
  <si>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</si>
  <si>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</si>
  <si>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</si>
  <si>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</si>
  <si>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</si>
  <si>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</si>
  <si>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</si>
  <si>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</si>
  <si>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</si>
  <si>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</si>
  <si>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</si>
  <si>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</si>
  <si>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</si>
  <si>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</si>
  <si>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</si>
  <si>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</si>
  <si>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</si>
  <si>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</si>
  <si>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</si>
  <si>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</si>
  <si>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</si>
  <si>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</si>
  <si>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</si>
  <si>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</si>
  <si>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</si>
  <si>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</si>
  <si>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</si>
  <si>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</si>
  <si>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</si>
  <si>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</si>
  <si>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</si>
  <si>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</si>
  <si>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</si>
  <si>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</si>
  <si>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</si>
  <si>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</si>
  <si>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</si>
  <si>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</si>
  <si>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</si>
  <si>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</si>
  <si>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</si>
  <si>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</si>
  <si>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</si>
  <si>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</si>
  <si>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</si>
  <si>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</si>
  <si>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</si>
  <si>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</si>
  <si>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</si>
  <si>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</si>
  <si>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</si>
  <si>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</si>
  <si>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</si>
  <si>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</si>
  <si>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</si>
  <si>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</si>
  <si>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</si>
  <si>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</si>
  <si>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</si>
  <si>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</si>
  <si>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</si>
  <si>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</si>
  <si>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</si>
  <si>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</si>
  <si>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</si>
  <si>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</si>
  <si>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</si>
  <si>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</si>
  <si>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</si>
  <si>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</si>
  <si>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</si>
  <si>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</si>
  <si>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</si>
  <si>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</si>
  <si>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</si>
  <si>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</si>
  <si>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</si>
  <si>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</si>
  <si>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</si>
  <si>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</si>
  <si>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</si>
  <si>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</si>
  <si>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</si>
  <si>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</si>
  <si>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</si>
  <si>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</si>
  <si>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</si>
  <si>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</si>
  <si>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</si>
  <si>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</si>
  <si>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</si>
  <si>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</si>
  <si>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</si>
  <si>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</si>
  <si>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</si>
  <si>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</si>
  <si>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</si>
  <si>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</si>
  <si>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</si>
  <si>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</si>
  <si>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</si>
  <si>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</si>
  <si>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</si>
  <si>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</si>
  <si>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</si>
  <si>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</si>
  <si>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</si>
  <si>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</si>
  <si>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</si>
  <si>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</si>
  <si>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</si>
  <si>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</si>
  <si>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</si>
  <si>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</si>
  <si>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</si>
  <si>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</si>
  <si>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</si>
  <si>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</si>
  <si>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</si>
  <si>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</si>
  <si>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</si>
  <si>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</si>
  <si>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</si>
  <si>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</si>
  <si>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</si>
  <si>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</si>
  <si>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</si>
  <si>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</si>
  <si>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</si>
  <si>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</si>
  <si>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</si>
  <si>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</si>
  <si>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</si>
  <si>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</si>
  <si>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</si>
  <si>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</si>
  <si>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</si>
  <si>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</si>
  <si>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</si>
  <si>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</si>
  <si>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</si>
  <si>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</si>
  <si>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</si>
  <si>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</si>
  <si>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</si>
  <si>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</si>
  <si>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</si>
  <si>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</si>
  <si>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</si>
  <si>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</si>
  <si>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</si>
  <si>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</si>
  <si>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</si>
  <si>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</si>
  <si>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</si>
  <si>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</si>
  <si>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</si>
  <si>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</si>
  <si>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</si>
  <si>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</si>
  <si>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</si>
  <si>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</si>
  <si>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</si>
  <si>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</si>
  <si>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</si>
  <si>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</si>
  <si>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</si>
  <si>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</si>
  <si>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</si>
  <si>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</si>
  <si>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</si>
  <si>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</si>
  <si>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</si>
  <si>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</si>
  <si>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</si>
  <si>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</si>
  <si>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</si>
  <si>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</si>
  <si>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</si>
  <si>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</si>
  <si>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</si>
  <si>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</si>
  <si>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</si>
  <si>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</si>
  <si>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</si>
  <si>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</si>
  <si>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</si>
  <si>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</si>
  <si>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</si>
  <si>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</si>
  <si>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</si>
  <si>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</si>
  <si>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</si>
  <si>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</si>
  <si>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</si>
  <si>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</si>
  <si>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</si>
  <si>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</si>
  <si>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</si>
  <si>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</si>
  <si>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</si>
  <si>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</si>
  <si>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</si>
  <si>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</si>
  <si>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</si>
  <si>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</si>
  <si>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</si>
  <si>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</si>
  <si>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</si>
  <si>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</si>
  <si>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</si>
  <si>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</si>
  <si>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</si>
  <si>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</si>
  <si>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</si>
  <si>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</si>
  <si>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</si>
  <si>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</si>
  <si>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</si>
  <si>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</si>
  <si>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</si>
  <si>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</si>
  <si>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</si>
  <si>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</si>
  <si>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</si>
  <si>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</si>
  <si>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</si>
  <si>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</si>
  <si>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</si>
  <si>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</si>
  <si>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</si>
  <si>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</si>
  <si>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</si>
  <si>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</si>
  <si>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</si>
  <si>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</si>
  <si>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</si>
  <si>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</si>
  <si>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</si>
  <si>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</si>
  <si>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</si>
  <si>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</si>
  <si>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</si>
  <si>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</si>
  <si>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</si>
  <si>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</si>
  <si>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</si>
  <si>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</si>
  <si>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</si>
  <si>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</si>
  <si>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</si>
  <si>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</si>
  <si>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</si>
  <si>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</si>
  <si>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</si>
  <si>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</si>
  <si>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</si>
  <si>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</si>
  <si>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</si>
  <si>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</si>
  <si>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</si>
  <si>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</si>
  <si>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</si>
  <si>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</si>
  <si>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</si>
  <si>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</si>
  <si>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</si>
  <si>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</si>
  <si>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</si>
  <si>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</si>
  <si>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</si>
  <si>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</si>
  <si>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</si>
  <si>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</si>
  <si>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</si>
  <si>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</si>
  <si>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</si>
  <si>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</si>
  <si>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</si>
  <si>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</si>
  <si>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</si>
  <si>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</si>
  <si>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</si>
  <si>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</si>
  <si>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</si>
  <si>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</si>
  <si>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</si>
  <si>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</si>
  <si>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</si>
  <si>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</si>
  <si>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</si>
  <si>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</si>
  <si>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</si>
  <si>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</si>
  <si>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</si>
  <si>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</si>
  <si>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</si>
  <si>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</si>
  <si>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</si>
  <si>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</si>
  <si>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</si>
  <si>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</si>
  <si>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</si>
  <si>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</si>
  <si>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</si>
  <si>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</si>
  <si>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</si>
  <si>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</si>
  <si>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</si>
  <si>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</si>
  <si>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</si>
  <si>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</si>
  <si>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</si>
  <si>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</si>
  <si>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</si>
  <si>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</si>
  <si>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</si>
  <si>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</si>
  <si>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</si>
  <si>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</si>
  <si>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</si>
  <si>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</si>
  <si>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</si>
  <si>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</si>
  <si>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</si>
  <si>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</si>
  <si>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</si>
  <si>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</si>
  <si>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</si>
  <si>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</si>
  <si>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</si>
  <si>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</si>
  <si>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</si>
  <si>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</si>
  <si>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</si>
  <si>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</si>
  <si>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</si>
  <si>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</si>
  <si>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</si>
  <si>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</si>
  <si>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</si>
  <si>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</si>
  <si>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</si>
  <si>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</si>
  <si>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</si>
  <si>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</si>
  <si>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</si>
  <si>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</si>
  <si>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</si>
  <si>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</si>
  <si>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</si>
  <si>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</si>
  <si>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</si>
  <si>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</si>
  <si>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</si>
  <si>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</si>
  <si>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</si>
  <si>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</si>
  <si>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</si>
  <si>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</si>
  <si>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</si>
  <si>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</si>
  <si>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</si>
  <si>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</si>
  <si>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</si>
  <si>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</si>
  <si>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</si>
  <si>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</si>
  <si>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</si>
  <si>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</si>
  <si>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</si>
  <si>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</si>
  <si>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</si>
  <si>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</si>
  <si>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</si>
  <si>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</si>
  <si>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</si>
  <si>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</si>
  <si>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</si>
  <si>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</si>
  <si>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</si>
  <si>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</si>
  <si>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</si>
  <si>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</si>
  <si>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</si>
  <si>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</si>
  <si>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</si>
  <si>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</si>
  <si>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</si>
  <si>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</si>
  <si>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</si>
  <si>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</si>
  <si>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</si>
  <si>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</si>
  <si>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</si>
  <si>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</si>
  <si>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</si>
  <si>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</si>
  <si>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</si>
  <si>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</si>
  <si>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</si>
  <si>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</si>
  <si>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</si>
  <si>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</si>
  <si>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</si>
  <si>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</si>
  <si>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</si>
  <si>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</si>
  <si>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</si>
  <si>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</si>
  <si>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</si>
  <si>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</si>
  <si>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</si>
  <si>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</si>
  <si>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</si>
  <si>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</si>
  <si>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</si>
  <si>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</si>
  <si>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</si>
  <si>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</si>
  <si>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</si>
  <si>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</si>
  <si>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</si>
  <si>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</si>
  <si>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</si>
  <si>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</si>
  <si>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</si>
  <si>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</si>
  <si>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</si>
  <si>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</si>
  <si>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</si>
  <si>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</si>
  <si>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</si>
  <si>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</si>
  <si>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</si>
  <si>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</si>
  <si>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</si>
  <si>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</si>
  <si>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</si>
  <si>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</si>
  <si>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</si>
  <si>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</si>
  <si>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</si>
  <si>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</si>
  <si>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</si>
  <si>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</si>
  <si>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</si>
  <si>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</si>
  <si>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</si>
  <si>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</si>
  <si>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</si>
  <si>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</si>
  <si>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</si>
  <si>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</si>
  <si>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</si>
  <si>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</si>
  <si>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</si>
  <si>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</si>
  <si>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</si>
  <si>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</si>
  <si>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</si>
  <si>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</si>
  <si>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</si>
  <si>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</si>
  <si>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</si>
  <si>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</si>
  <si>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</si>
  <si>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</si>
  <si>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</si>
  <si>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</si>
  <si>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</si>
  <si>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</si>
  <si>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</si>
  <si>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</si>
  <si>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</si>
  <si>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</si>
  <si>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</si>
  <si>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</si>
  <si>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</si>
  <si>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</si>
  <si>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</si>
  <si>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</si>
  <si>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</si>
  <si>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</si>
  <si>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</si>
  <si>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</si>
  <si>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</si>
  <si>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</si>
  <si>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</si>
  <si>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</si>
  <si>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</si>
  <si>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</si>
  <si>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</si>
  <si>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</si>
  <si>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</si>
  <si>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</si>
  <si>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</si>
  <si>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</si>
  <si>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</si>
  <si>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</si>
  <si>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</si>
  <si>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</si>
  <si>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</si>
  <si>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</si>
  <si>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</si>
  <si>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</si>
  <si>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</si>
  <si>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</si>
  <si>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</si>
  <si>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</si>
  <si>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</si>
  <si>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</si>
  <si>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</si>
  <si>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</si>
  <si>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</si>
  <si>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</si>
  <si>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</si>
  <si>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</si>
  <si>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</si>
  <si>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</si>
  <si>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</si>
  <si>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</si>
  <si>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</si>
  <si>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</si>
  <si>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</si>
  <si>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</si>
  <si>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</si>
  <si>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</si>
  <si>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</si>
  <si>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</si>
  <si>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</si>
  <si>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</si>
  <si>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</si>
  <si>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</si>
  <si>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</si>
  <si>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</si>
  <si>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</si>
  <si>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</si>
  <si>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</si>
  <si>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</si>
  <si>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</si>
  <si>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</si>
  <si>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</si>
  <si>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</si>
  <si>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</si>
  <si>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</si>
  <si>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</si>
  <si>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</si>
  <si>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</si>
  <si>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</si>
  <si>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</si>
  <si>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</si>
  <si>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</si>
  <si>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</si>
  <si>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</si>
  <si>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</si>
  <si>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</si>
  <si>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</si>
  <si>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</si>
  <si>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</si>
  <si>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</si>
  <si>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</si>
  <si>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</si>
  <si>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</si>
  <si>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</si>
  <si>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</si>
  <si>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</si>
  <si>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</si>
  <si>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</si>
  <si>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</si>
  <si>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</si>
  <si>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</si>
  <si>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</si>
  <si>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</si>
  <si>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</si>
  <si>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</si>
  <si>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</si>
  <si>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</si>
  <si>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</si>
  <si>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</si>
  <si>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</si>
  <si>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</si>
  <si>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</si>
  <si>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</si>
  <si>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</si>
  <si>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</si>
  <si>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</si>
  <si>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</si>
  <si>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</si>
  <si>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</si>
  <si>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</si>
  <si>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</si>
  <si>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</si>
  <si>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</si>
  <si>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</si>
  <si>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</si>
  <si>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</si>
  <si>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</si>
  <si>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</si>
  <si>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</si>
  <si>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</si>
  <si>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</si>
  <si>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</si>
  <si>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</si>
  <si>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</si>
  <si>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</si>
  <si>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</si>
  <si>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</si>
  <si>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</si>
  <si>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</si>
  <si>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</si>
  <si>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</si>
  <si>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</si>
  <si>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</si>
  <si>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</si>
  <si>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</si>
  <si>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</si>
  <si>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</si>
  <si>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</si>
  <si>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</si>
  <si>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</si>
  <si>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</si>
  <si>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</si>
  <si>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</si>
  <si>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</si>
  <si>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</si>
  <si>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</si>
  <si>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</si>
  <si>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</si>
  <si>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</si>
  <si>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</si>
  <si>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</si>
  <si>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</si>
  <si>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</si>
  <si>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</si>
  <si>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</si>
  <si>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</si>
  <si>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</si>
  <si>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</si>
  <si>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</si>
  <si>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</si>
  <si>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</si>
  <si>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</si>
  <si>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</si>
  <si>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</si>
  <si>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</si>
  <si>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</si>
  <si>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</si>
  <si>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</si>
  <si>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</si>
  <si>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</si>
  <si>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</si>
  <si>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</si>
  <si>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</si>
  <si>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</si>
  <si>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</si>
  <si>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</si>
  <si>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</si>
  <si>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</si>
  <si>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</si>
  <si>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</si>
  <si>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</si>
  <si>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</si>
  <si>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</si>
  <si>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</si>
  <si>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</si>
  <si>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</si>
  <si>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</si>
  <si>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</si>
  <si>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</si>
  <si>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</si>
  <si>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</si>
  <si>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</si>
  <si>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</si>
  <si>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</si>
  <si>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</si>
  <si>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</si>
  <si>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</si>
  <si>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</si>
  <si>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</si>
  <si>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</si>
  <si>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</si>
  <si>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</si>
  <si>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</si>
  <si>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</si>
  <si>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</si>
  <si>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</si>
  <si>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</si>
  <si>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</si>
  <si>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</si>
  <si>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</si>
  <si>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</si>
  <si>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</si>
  <si>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</si>
  <si>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</si>
  <si>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</si>
  <si>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</si>
  <si>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</si>
  <si>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</si>
  <si>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</si>
  <si>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</si>
  <si>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</si>
  <si>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</si>
  <si>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</si>
  <si>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</si>
  <si>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</si>
  <si>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</si>
  <si>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</si>
  <si>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</si>
  <si>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</si>
  <si>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</si>
  <si>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</si>
  <si>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</si>
  <si>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</si>
  <si>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</si>
  <si>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</si>
  <si>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</si>
  <si>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</si>
  <si>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</si>
  <si>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</si>
  <si>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</si>
  <si>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</si>
  <si>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</si>
  <si>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</si>
  <si>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</si>
  <si>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</si>
  <si>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</si>
  <si>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</si>
  <si>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</si>
  <si>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</si>
  <si>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</si>
  <si>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</si>
  <si>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</si>
  <si>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</si>
  <si>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</si>
  <si>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</si>
  <si>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</si>
  <si>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</si>
  <si>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</si>
  <si>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</si>
  <si>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</si>
  <si>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</si>
  <si>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</si>
  <si>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</si>
  <si>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</si>
  <si>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</si>
  <si>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</si>
  <si>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</si>
  <si>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</si>
  <si>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</si>
  <si>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</si>
  <si>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</si>
  <si>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</si>
  <si>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</si>
  <si>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</si>
  <si>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</si>
  <si>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</si>
  <si>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</si>
  <si>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</si>
  <si>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</si>
  <si>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</si>
  <si>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</si>
  <si>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</si>
  <si>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</si>
  <si>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</si>
  <si>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</si>
  <si>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</si>
  <si>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</si>
  <si>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</si>
  <si>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</si>
  <si>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</si>
  <si>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</si>
  <si>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</si>
  <si>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</si>
  <si>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</si>
  <si>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</si>
  <si>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</si>
  <si>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</si>
  <si>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</si>
  <si>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</si>
  <si>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</si>
  <si>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</si>
  <si>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</si>
  <si>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</si>
  <si>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</si>
  <si>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</si>
  <si>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</si>
  <si>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</si>
  <si>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</si>
  <si>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</si>
  <si>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</si>
  <si>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</si>
  <si>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</si>
  <si>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</si>
  <si>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</si>
  <si>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</si>
  <si>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</si>
  <si>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</si>
  <si>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</si>
  <si>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</si>
  <si>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</si>
  <si>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</si>
  <si>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</si>
  <si>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</si>
  <si>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</si>
  <si>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</si>
  <si>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</si>
  <si>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</si>
  <si>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</si>
  <si>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</si>
  <si>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</si>
  <si>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</si>
  <si>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</si>
  <si>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</si>
  <si>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</si>
  <si>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</si>
  <si>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</si>
  <si>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</si>
  <si>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</si>
  <si>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</si>
  <si>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</si>
  <si>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</si>
  <si>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</si>
  <si>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</si>
  <si>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</si>
  <si>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</si>
  <si>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</si>
  <si>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</si>
  <si>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</si>
  <si>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</si>
  <si>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</si>
  <si>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</si>
  <si>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</si>
  <si>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</si>
  <si>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</si>
  <si>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</si>
  <si>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</si>
  <si>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</si>
  <si>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</si>
  <si>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</si>
  <si>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</si>
  <si>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</si>
  <si>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</si>
  <si>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</si>
  <si>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</si>
  <si>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</si>
  <si>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</si>
  <si>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</si>
  <si>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</si>
  <si>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</si>
  <si>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</si>
  <si>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</si>
  <si>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</si>
  <si>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</si>
  <si>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</si>
  <si>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</si>
  <si>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</si>
  <si>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</si>
  <si>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</si>
  <si>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</si>
  <si>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</si>
  <si>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</si>
  <si>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</si>
  <si>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</si>
  <si>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</si>
  <si>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</si>
  <si>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</si>
  <si>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</si>
  <si>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</si>
  <si>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</si>
  <si>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</si>
  <si>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</si>
  <si>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</si>
  <si>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</si>
  <si>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</si>
  <si>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</si>
  <si>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</si>
  <si>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</si>
  <si>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</si>
  <si>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</si>
  <si>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</si>
  <si>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</si>
  <si>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</si>
  <si>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</si>
  <si>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</si>
  <si>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</si>
  <si>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</si>
  <si>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</si>
  <si>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</si>
  <si>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</si>
  <si>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</si>
  <si>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</si>
  <si>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</si>
  <si>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</si>
  <si>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</si>
  <si>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</si>
  <si>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</si>
  <si>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</si>
  <si>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</si>
  <si>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</si>
  <si>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</si>
  <si>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</si>
  <si>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</si>
  <si>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</si>
  <si>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</si>
  <si>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</si>
  <si>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</si>
  <si>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</si>
  <si>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</si>
  <si>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</si>
  <si>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</si>
  <si>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</si>
  <si>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</si>
  <si>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</si>
  <si>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</si>
  <si>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</si>
  <si>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</si>
  <si>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</si>
  <si>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</si>
  <si>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</si>
  <si>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</si>
  <si>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</si>
  <si>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</si>
  <si>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</si>
  <si>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</si>
  <si>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</si>
  <si>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</si>
  <si>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</si>
  <si>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</si>
  <si>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</si>
  <si>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</si>
  <si>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</si>
  <si>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</si>
  <si>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</si>
  <si>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</si>
  <si>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</si>
  <si>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</si>
  <si>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</si>
  <si>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</si>
  <si>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</si>
  <si>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</si>
  <si>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</si>
  <si>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</si>
  <si>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</si>
  <si>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</si>
  <si>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</si>
  <si>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</si>
  <si>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</si>
  <si>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</si>
  <si>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</si>
  <si>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</si>
  <si>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</si>
  <si>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</si>
  <si>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</si>
  <si>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</si>
  <si>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</si>
  <si>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</si>
  <si>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</si>
  <si>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</si>
  <si>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</si>
  <si>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</si>
  <si>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</si>
  <si>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</si>
  <si>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</si>
  <si>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</si>
  <si>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</si>
  <si>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</si>
  <si>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</si>
  <si>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</si>
  <si>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</si>
  <si>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</si>
  <si>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</si>
  <si>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</si>
  <si>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</si>
  <si>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</si>
  <si>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</si>
  <si>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</si>
  <si>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</si>
  <si>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</si>
  <si>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</si>
  <si>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</si>
  <si>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</si>
  <si>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</si>
  <si>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</si>
  <si>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</si>
  <si>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</si>
  <si>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</si>
  <si>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</si>
  <si>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</si>
  <si>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</si>
  <si>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</si>
  <si>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</si>
  <si>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</si>
  <si>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</si>
  <si>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</si>
  <si>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</si>
  <si>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</si>
  <si>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</si>
  <si>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</si>
  <si>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</si>
  <si>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</si>
  <si>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</si>
  <si>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</si>
  <si>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</si>
  <si>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</si>
  <si>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</si>
  <si>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</si>
  <si>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</si>
  <si>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</si>
  <si>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</si>
  <si>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</si>
  <si>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</si>
  <si>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</si>
  <si>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</si>
  <si>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</si>
  <si>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</si>
  <si>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</si>
  <si>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</si>
  <si>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</si>
  <si>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</si>
  <si>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</si>
  <si>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</si>
  <si>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</si>
  <si>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</si>
  <si>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</si>
  <si>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</si>
  <si>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</si>
  <si>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</si>
  <si>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</si>
  <si>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</si>
  <si>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</si>
  <si>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</si>
  <si>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</si>
  <si>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</si>
  <si>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</si>
  <si>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</si>
  <si>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</si>
  <si>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</si>
  <si>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</si>
  <si>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</si>
  <si>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</si>
  <si>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</si>
  <si>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</si>
  <si>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</si>
  <si>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</si>
  <si>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</si>
  <si>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</si>
  <si>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</si>
  <si>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</si>
  <si>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</si>
  <si>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</si>
  <si>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</si>
  <si>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</si>
  <si>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</si>
  <si>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</si>
  <si>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</si>
  <si>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</si>
  <si>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</si>
  <si>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</si>
  <si>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</si>
  <si>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</si>
  <si>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</si>
  <si>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</si>
  <si>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</si>
  <si>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</si>
  <si>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</si>
  <si>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</si>
  <si>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</si>
  <si>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</si>
  <si>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</si>
  <si>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</si>
  <si>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</si>
  <si>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</si>
  <si>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</si>
  <si>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</si>
  <si>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</si>
  <si>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</si>
  <si>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</si>
  <si>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</si>
  <si>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</si>
  <si>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</si>
  <si>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</si>
  <si>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</si>
  <si>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</si>
  <si>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</si>
  <si>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</si>
  <si>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</si>
  <si>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</si>
  <si>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</si>
  <si>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</si>
  <si>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</si>
  <si>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</si>
  <si>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</si>
  <si>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</si>
  <si>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</si>
  <si>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</si>
  <si>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</si>
  <si>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</si>
  <si>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</si>
  <si>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</si>
  <si>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</si>
  <si>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</si>
  <si>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</si>
  <si>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</si>
  <si>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</si>
  <si>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</si>
  <si>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</si>
  <si>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</si>
  <si>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</si>
  <si>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</si>
  <si>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</si>
  <si>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</si>
  <si>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</si>
  <si>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</si>
  <si>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</si>
  <si>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</si>
  <si>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</si>
  <si>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</si>
  <si>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</si>
  <si>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</si>
  <si>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</si>
  <si>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</si>
  <si>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</si>
  <si>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</si>
  <si>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</si>
  <si>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</si>
  <si>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</si>
  <si>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</si>
  <si>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</si>
  <si>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</si>
  <si>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</si>
  <si>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</si>
  <si>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</si>
  <si>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</si>
  <si>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</si>
  <si>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</si>
  <si>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</si>
  <si>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</si>
  <si>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</si>
  <si>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</si>
  <si>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</si>
  <si>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</si>
  <si>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</si>
  <si>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</si>
  <si>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</si>
  <si>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</si>
  <si>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</si>
  <si>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</si>
  <si>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</si>
  <si>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</si>
  <si>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</si>
  <si>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</si>
  <si>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</si>
  <si>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</si>
  <si>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</si>
  <si>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</si>
  <si>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</si>
  <si>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</si>
  <si>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</si>
  <si>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</si>
  <si>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</si>
  <si>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</si>
  <si>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</si>
  <si>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</si>
  <si>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</si>
  <si>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</si>
  <si>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</si>
  <si>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</si>
  <si>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</si>
  <si>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</si>
  <si>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</si>
  <si>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</si>
  <si>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</si>
  <si>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</si>
  <si>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</si>
  <si>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</si>
  <si>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</si>
  <si>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</si>
  <si>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</si>
  <si>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</si>
  <si>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</si>
  <si>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</si>
  <si>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</si>
  <si>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</si>
  <si>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</si>
  <si>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</si>
  <si>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</si>
  <si>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</si>
  <si>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</si>
  <si>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</si>
  <si>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</si>
  <si>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</si>
  <si>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</si>
  <si>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</si>
  <si>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</si>
  <si>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</si>
  <si>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</si>
  <si>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</si>
  <si>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</si>
  <si>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</si>
  <si>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</si>
  <si>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</si>
  <si>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</si>
  <si>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</si>
  <si>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</si>
  <si>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</si>
  <si>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</si>
  <si>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</si>
  <si>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</si>
  <si>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</si>
  <si>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</si>
  <si>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</si>
  <si>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</si>
  <si>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</si>
  <si>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</si>
  <si>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</si>
  <si>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</si>
  <si>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</si>
  <si>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</si>
  <si>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</si>
  <si>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</si>
  <si>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</si>
  <si>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</si>
  <si>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</si>
  <si>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</si>
  <si>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</si>
  <si>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</si>
  <si>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</si>
  <si>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</si>
  <si>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</si>
  <si>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</si>
  <si>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</si>
  <si>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</si>
  <si>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</si>
  <si>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</si>
  <si>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</si>
  <si>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</si>
  <si>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</si>
  <si>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</si>
  <si>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</si>
  <si>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</si>
  <si>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</si>
  <si>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</si>
  <si>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</si>
  <si>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</si>
  <si>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</si>
  <si>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</si>
  <si>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</si>
  <si>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</si>
  <si>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</si>
  <si>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</si>
  <si>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</si>
  <si>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</si>
  <si>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</si>
  <si>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</si>
  <si>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</si>
  <si>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</si>
  <si>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</si>
  <si>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</si>
  <si>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</si>
  <si>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</si>
  <si>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</si>
  <si>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</si>
  <si>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</si>
  <si>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</si>
  <si>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</si>
  <si>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</si>
  <si>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</si>
  <si>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</si>
  <si>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</si>
  <si>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</si>
  <si>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</si>
  <si>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</si>
  <si>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</si>
  <si>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</si>
  <si>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</si>
  <si>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</si>
  <si>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</si>
  <si>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</si>
  <si>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</si>
  <si>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</si>
  <si>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</si>
  <si>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</si>
  <si>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</si>
  <si>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</si>
  <si>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</si>
  <si>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</si>
  <si>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</si>
  <si>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</si>
  <si>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</si>
  <si>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</si>
  <si>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</si>
  <si>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</si>
  <si>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</si>
  <si>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</si>
  <si>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</si>
  <si>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</si>
  <si>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</si>
  <si>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</si>
  <si>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</si>
  <si>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</si>
  <si>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</si>
  <si>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</si>
  <si>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</si>
  <si>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</si>
  <si>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</si>
  <si>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</si>
  <si>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</si>
  <si>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</si>
  <si>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</si>
  <si>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</si>
  <si>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</si>
  <si>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</si>
  <si>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</si>
  <si>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</si>
  <si>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</si>
  <si>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</si>
  <si>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</si>
  <si>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</si>
  <si>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</si>
  <si>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</si>
  <si>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</si>
  <si>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</si>
  <si>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</si>
  <si>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</si>
  <si>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</si>
  <si>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</si>
  <si>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</si>
  <si>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</si>
  <si>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</si>
  <si>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</si>
  <si>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</si>
  <si>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</si>
  <si>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</si>
  <si>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</si>
  <si>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</si>
  <si>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</si>
  <si>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</si>
  <si>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</si>
  <si>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</si>
  <si>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</si>
  <si>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</si>
  <si>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</si>
  <si>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</si>
  <si>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</si>
  <si>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</si>
  <si>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</si>
  <si>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</si>
  <si>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</si>
  <si>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</si>
  <si>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</si>
  <si>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</si>
  <si>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</si>
  <si>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</si>
  <si>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</si>
  <si>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</si>
  <si>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</si>
  <si>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</si>
  <si>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</si>
  <si>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</si>
  <si>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</si>
  <si>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</si>
  <si>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</si>
  <si>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</si>
  <si>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</si>
  <si>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</si>
  <si>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</si>
  <si>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</si>
  <si>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</si>
  <si>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</si>
  <si>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</si>
  <si>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</si>
  <si>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</si>
  <si>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</si>
  <si>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</si>
  <si>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</si>
  <si>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</si>
  <si>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</si>
  <si>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</si>
  <si>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</si>
  <si>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</si>
  <si>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</si>
  <si>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</si>
  <si>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</si>
  <si>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</si>
  <si>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</si>
  <si>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</si>
  <si>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</si>
  <si>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</si>
  <si>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</si>
  <si>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</si>
  <si>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</si>
  <si>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</si>
  <si>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</si>
  <si>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</si>
  <si>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</si>
  <si>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</si>
  <si>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</si>
  <si>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</si>
  <si>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</si>
  <si>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</si>
  <si>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</si>
  <si>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</si>
  <si>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</si>
  <si>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</si>
  <si>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</si>
  <si>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</si>
  <si>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</si>
  <si>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</si>
  <si>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</si>
  <si>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</si>
  <si>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</si>
  <si>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</si>
  <si>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</si>
  <si>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</si>
  <si>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</si>
  <si>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</si>
  <si>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</si>
  <si>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</si>
  <si>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</si>
  <si>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</si>
  <si>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</si>
  <si>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</si>
  <si>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</si>
  <si>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</si>
  <si>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</si>
  <si>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</si>
  <si>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</si>
  <si>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</si>
  <si>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</si>
  <si>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</si>
  <si>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</si>
  <si>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</si>
  <si>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</si>
  <si>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</si>
  <si>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</si>
  <si>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</si>
  <si>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</si>
  <si>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</si>
  <si>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</si>
  <si>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</si>
  <si>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</si>
  <si>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</si>
  <si>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</si>
  <si>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</si>
  <si>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</si>
  <si>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</si>
  <si>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</si>
  <si>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</si>
  <si>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</si>
  <si>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</si>
  <si>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</si>
  <si>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</si>
  <si>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</si>
  <si>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</si>
  <si>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</si>
  <si>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</si>
  <si>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</si>
  <si>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</si>
  <si>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</si>
  <si>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</si>
  <si>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</si>
  <si>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</si>
  <si>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</si>
  <si>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</si>
  <si>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</si>
  <si>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</si>
  <si>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</si>
  <si>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</si>
  <si>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</si>
  <si>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</si>
  <si>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</si>
  <si>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</si>
  <si>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</si>
  <si>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</si>
  <si>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</si>
  <si>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</si>
  <si>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</si>
  <si>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</si>
  <si>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</si>
  <si>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</si>
  <si>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</si>
  <si>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</si>
  <si>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</si>
  <si>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</si>
  <si>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</si>
  <si>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</si>
  <si>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</si>
  <si>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</si>
  <si>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</si>
  <si>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</si>
  <si>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</si>
  <si>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</si>
  <si>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</si>
  <si>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</si>
  <si>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</si>
  <si>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</si>
  <si>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</si>
  <si>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</si>
  <si>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</si>
  <si>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</si>
  <si>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</si>
  <si>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</si>
  <si>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</si>
  <si>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</si>
  <si>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</si>
  <si>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</si>
  <si>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</si>
  <si>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</si>
  <si>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</si>
  <si>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</si>
  <si>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</si>
  <si>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</si>
  <si>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</si>
  <si>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</si>
  <si>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</si>
  <si>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</si>
  <si>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</si>
  <si>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</si>
  <si>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</si>
  <si>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</si>
  <si>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</si>
  <si>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</si>
  <si>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</si>
  <si>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</si>
  <si>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</si>
  <si>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</si>
  <si>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</si>
  <si>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</si>
  <si>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</si>
  <si>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</si>
  <si>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</si>
  <si>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</si>
  <si>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</si>
  <si>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</si>
  <si>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</si>
  <si>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</si>
  <si>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</si>
  <si>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</si>
  <si>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</si>
  <si>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</si>
  <si>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</si>
  <si>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</si>
  <si>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</si>
  <si>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</si>
  <si>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</si>
  <si>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</si>
  <si>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</si>
  <si>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</si>
  <si>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</si>
  <si>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</si>
  <si>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</si>
  <si>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</si>
  <si>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</si>
  <si>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</si>
  <si>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</si>
  <si>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</si>
  <si>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</si>
  <si>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</si>
  <si>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</si>
  <si>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</si>
  <si>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</si>
  <si>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</si>
  <si>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</si>
  <si>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</si>
  <si>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</si>
  <si>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</si>
  <si>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</si>
  <si>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</si>
  <si>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</si>
  <si>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</si>
  <si>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</si>
  <si>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</si>
  <si>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</si>
  <si>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</si>
  <si>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</si>
  <si>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</si>
  <si>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</si>
  <si>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</si>
  <si>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</si>
  <si>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</si>
  <si>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</si>
  <si>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</si>
  <si>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</si>
  <si>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</si>
  <si>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</si>
  <si>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</si>
  <si>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</si>
  <si>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</si>
  <si>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</si>
  <si>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</si>
  <si>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</si>
  <si>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</si>
  <si>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</si>
  <si>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</si>
  <si>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</si>
  <si>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</si>
  <si>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</si>
  <si>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</si>
  <si>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</si>
  <si>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</si>
  <si>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</si>
  <si>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</si>
  <si>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</si>
  <si>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</si>
  <si>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</si>
  <si>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</si>
  <si>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</si>
  <si>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</si>
  <si>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</si>
  <si>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</si>
  <si>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</si>
  <si>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</si>
  <si>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</si>
  <si>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</si>
  <si>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</si>
  <si>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</si>
  <si>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</si>
  <si>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</si>
  <si>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</si>
  <si>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</si>
  <si>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</si>
  <si>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</si>
  <si>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</si>
  <si>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</si>
  <si>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</si>
  <si>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</si>
  <si>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</si>
  <si>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</si>
  <si>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</si>
  <si>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</si>
  <si>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</si>
  <si>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</si>
  <si>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</si>
  <si>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</si>
  <si>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</si>
  <si>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</si>
  <si>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</si>
  <si>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</si>
  <si>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</si>
  <si>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</si>
  <si>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</si>
  <si>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</si>
  <si>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</si>
  <si>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</si>
  <si>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</si>
  <si>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</si>
  <si>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</si>
  <si>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</si>
  <si>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</si>
  <si>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</si>
  <si>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</si>
  <si>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</si>
  <si>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</si>
  <si>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</si>
  <si>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</si>
  <si>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</si>
  <si>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</si>
  <si>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</si>
  <si>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</si>
  <si>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</si>
  <si>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</si>
  <si>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</si>
  <si>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</si>
  <si>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</si>
  <si>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</si>
  <si>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</si>
  <si>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</si>
  <si>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</si>
  <si>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</si>
  <si>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</si>
  <si>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</si>
  <si>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</si>
  <si>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</si>
  <si>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</si>
  <si>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</si>
  <si>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</si>
  <si>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</si>
  <si>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</si>
  <si>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</si>
  <si>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</si>
  <si>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</si>
  <si>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</si>
  <si>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</si>
  <si>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</si>
  <si>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</si>
  <si>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</si>
  <si>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</si>
  <si>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</si>
  <si>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</si>
  <si>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</si>
  <si>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</si>
  <si>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</si>
  <si>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</si>
  <si>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</si>
  <si>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</si>
  <si>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</si>
  <si>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</si>
  <si>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</si>
  <si>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</si>
  <si>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</si>
  <si>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</si>
  <si>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</si>
  <si>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</si>
  <si>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</si>
  <si>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</si>
  <si>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</si>
  <si>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</si>
  <si>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</si>
  <si>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</si>
  <si>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</si>
  <si>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</si>
  <si>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</si>
  <si>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</si>
  <si>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</si>
  <si>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</si>
  <si>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</si>
  <si>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</si>
  <si>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</si>
  <si>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</si>
  <si>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</si>
  <si>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</si>
  <si>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</si>
  <si>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</si>
  <si>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</si>
  <si>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</si>
  <si>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</si>
  <si>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</si>
  <si>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</si>
  <si>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</si>
  <si>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</si>
  <si>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</si>
  <si>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</si>
  <si>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</si>
  <si>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</si>
  <si>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</si>
  <si>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</si>
  <si>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</si>
  <si>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</si>
  <si>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</si>
  <si>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</si>
  <si>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</si>
  <si>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</si>
  <si>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</si>
  <si>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</si>
  <si>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</si>
  <si>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</si>
  <si>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</si>
  <si>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</si>
  <si>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</si>
  <si>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</si>
  <si>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</si>
  <si>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</si>
  <si>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</si>
  <si>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</si>
  <si>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</si>
  <si>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</si>
  <si>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</si>
  <si>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</si>
  <si>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</si>
  <si>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</si>
  <si>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</si>
  <si>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</si>
  <si>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</si>
  <si>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</si>
  <si>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</si>
  <si>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</si>
  <si>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</si>
  <si>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</si>
  <si>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</si>
  <si>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</si>
  <si>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</si>
  <si>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</si>
  <si>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</si>
  <si>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</si>
  <si>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</si>
  <si>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</si>
  <si>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</si>
  <si>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</si>
  <si>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</si>
  <si>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</si>
  <si>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</si>
  <si>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</si>
  <si>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</si>
  <si>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</si>
  <si>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</si>
  <si>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</si>
  <si>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</si>
  <si>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</si>
  <si>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</si>
  <si>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</si>
  <si>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</si>
  <si>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</si>
  <si>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</si>
  <si>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</si>
  <si>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</si>
  <si>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</si>
  <si>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</si>
  <si>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</si>
  <si>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</si>
  <si>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</si>
  <si>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</si>
  <si>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</si>
  <si>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</si>
  <si>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</si>
  <si>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</si>
  <si>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</si>
  <si>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</si>
  <si>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</si>
  <si>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</si>
  <si>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</si>
  <si>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</si>
  <si>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</si>
  <si>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</si>
  <si>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</si>
  <si>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</si>
  <si>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</si>
  <si>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</si>
  <si>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</si>
  <si>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</si>
  <si>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</si>
  <si>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</si>
  <si>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</si>
  <si>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</si>
  <si>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</si>
  <si>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</si>
  <si>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</si>
  <si>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</si>
  <si>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</si>
  <si>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</si>
  <si>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</si>
  <si>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</si>
  <si>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</si>
  <si>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</si>
  <si>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</si>
  <si>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</si>
  <si>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</si>
  <si>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</si>
  <si>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</si>
  <si>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</si>
  <si>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</si>
  <si>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</si>
  <si>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</si>
  <si>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</si>
  <si>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</si>
  <si>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</si>
  <si>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</si>
  <si>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</si>
  <si>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</si>
  <si>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</si>
  <si>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</si>
  <si>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</si>
  <si>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</si>
  <si>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</si>
  <si>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</si>
  <si>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</si>
  <si>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</si>
  <si>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</si>
  <si>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Certified smelters are allowed to source from legitimate mines in covered countries.</t>
  </si>
  <si>
    <t>Our CAHRAs include all covered countries of the Dodd-Frank-Act and are extended based on our due diligence analysis.</t>
  </si>
  <si>
    <t>We continue to work with our suppliers to achieve 100% feedback rate.</t>
  </si>
  <si>
    <t>AT&amp;S Austria Technologie &amp; Systemtechnik Aktiengesellschaft</t>
  </si>
  <si>
    <t/>
  </si>
  <si>
    <t>Theresa Gruber</t>
  </si>
  <si>
    <t>t.gruber@ats.net</t>
  </si>
  <si>
    <t>Fabrikgasse 13, 8700 Leoben, Austria</t>
  </si>
  <si>
    <t xml:space="preserve">(+43) 3842 200 </t>
  </si>
  <si>
    <t>Alexandre Allaire</t>
  </si>
  <si>
    <t>Vice President Corporate Procurement</t>
  </si>
  <si>
    <t>A.Allaire@ats.net</t>
  </si>
  <si>
    <t>+852 3556 6862</t>
  </si>
  <si>
    <t>This sheet is valid for all products shipped by AT&amp;S Group to it's customers and reflects materials which remain on our products. The sheet  is based on the supplier feedback we received until the "Effective Date" below.</t>
  </si>
  <si>
    <t>AT&amp;S Supply Chain Policy: https://ats.net/en/download/esg-policies/?wpdmdl=33662&amp;refresh=66debc98de15d1725873304</t>
  </si>
  <si>
    <t>https://ats.net/en/download/esg-policies/?wpdmdl=33662&amp;refresh=66debc98de15d1725873304</t>
  </si>
  <si>
    <t xml:space="preserve">AT&amp;S requests from suppliers that all smelters are listed on the conformant smelter list released by RMI. AT&amp;S has the requirement of conflict free sourcing as part of ist General Term and Conditions of Purchasing as well as it is addressed in the AT&amp;S Supplier Code of Conduct. </t>
  </si>
  <si>
    <t>AT&amp;S always uses the RMI templates to retrieve information from suppliers.</t>
  </si>
  <si>
    <t xml:space="preserve">AT&amp;S expectation is in line with RMI and all smelter lists are matched with the most recent RMI conformant smelter list.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</si>
</sst>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right/>
      <top style="thin">
        <color rgb="FF003366"/>
      </top>
      <bottom style="thin">
        <color rgb="FF003366"/>
      </bottom>
      <diagonal/>
    </border>
    <border>
      <left style="thin">
        <color rgb="FF003366"/>
      </left>
      <right/>
      <top style="thin">
        <color rgb="FF003366"/>
      </top>
      <bottom style="thin">
        <color rgb="FF00336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0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72" xfId="0" applyFont="1" applyBorder="1" applyAlignment="1" applyProtection="1">
      <alignment horizontal="left" vertical="center" wrapText="1"/>
      <protection locked="0"/>
    </xf>
    <xf numFmtId="0" fontId="15" fillId="0" borderId="71" xfId="0"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37" borderId="70" xfId="0" applyFont="1" applyFill="1" applyBorder="1" applyAlignment="1" applyProtection="1">
      <alignment horizontal="left" vertical="center" wrapText="1"/>
      <protection locked="0"/>
    </xf>
    <xf numFmtId="0" fontId="15" fillId="37" borderId="71"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7" borderId="68" xfId="0" applyFont="1" applyFill="1" applyBorder="1" applyAlignment="1" applyProtection="1">
      <alignment horizontal="left" vertical="center" wrapText="1"/>
      <protection locked="0"/>
    </xf>
    <xf numFmtId="0" fontId="15" fillId="37" borderId="69"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100" fillId="37" borderId="70" xfId="0" applyFont="1" applyFill="1" applyBorder="1" applyAlignment="1" applyProtection="1">
      <alignment horizontal="left" vertical="center" wrapText="1"/>
      <protection locked="0"/>
    </xf>
    <xf numFmtId="0" fontId="100" fillId="37" borderId="71" xfId="0" applyFont="1" applyFill="1" applyBorder="1" applyAlignment="1" applyProtection="1">
      <alignment horizontal="left" vertical="center" wrapText="1"/>
      <protection locked="0"/>
    </xf>
    <xf numFmtId="0" fontId="8" fillId="37" borderId="70" xfId="487" applyFill="1" applyBorder="1" applyAlignment="1" applyProtection="1">
      <protection locked="0"/>
    </xf>
    <xf numFmtId="0" fontId="8" fillId="37" borderId="71" xfId="487" applyFill="1" applyBorder="1" applyAlignment="1" applyProtection="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5" fillId="37" borderId="58" xfId="0" applyFont="1" applyFill="1" applyBorder="1" applyAlignment="1" applyProtection="1">
      <alignment horizontal="left" vertical="center"/>
      <protection locked="0"/>
    </xf>
    <xf numFmtId="0" fontId="15" fillId="37" borderId="10" xfId="0" applyFont="1" applyFill="1" applyBorder="1" applyAlignment="1" applyProtection="1">
      <alignment horizontal="left" vertical="center"/>
      <protection locked="0"/>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70" xfId="0" applyBorder="1" applyAlignment="1" applyProtection="1">
      <alignment horizontal="left" wrapText="1"/>
      <protection locked="0"/>
    </xf>
    <xf numFmtId="0" fontId="0" fillId="0" borderId="71"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ats.net/en/download/esg-policies/?wpdmdl=33662&amp;refresh=66debc98de15d1725873304"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Allaire@at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Normal="100" zoomScalePageLayoutView="70" workbookViewId="0">
      <selection activeCell="D10" sqref="D10:J1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0"/>
      <c r="G3" s="360"/>
      <c r="H3" s="360"/>
      <c r="I3" s="152"/>
      <c r="J3" s="138" t="s">
        <v>15760</v>
      </c>
      <c r="K3" s="36"/>
      <c r="L3" s="100"/>
      <c r="P3" s="45">
        <f>MATCH($D$3,LN,0)</f>
        <v>1</v>
      </c>
    </row>
    <row r="4" spans="1:34" ht="15.75">
      <c r="A4" s="34"/>
      <c r="B4" s="351" t="str">
        <f ca="1">OFFSET(L!$C$1,MATCH("Declaration"&amp;ADDRESS(ROW(),COLUMN(),4),L!$A:$A,0)-1,SL,,)</f>
        <v>The purpose of this document is to collect sourcing information on tin, tantalum, tungsten and gold used in products</v>
      </c>
      <c r="C4" s="351"/>
      <c r="D4" s="351"/>
      <c r="E4" s="351"/>
      <c r="F4" s="351"/>
      <c r="G4" s="351"/>
      <c r="H4" s="351"/>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15858</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490</v>
      </c>
      <c r="E9" s="363"/>
      <c r="F9" s="363"/>
      <c r="G9" s="36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6" t="str">
        <f ca="1">OFFSET(L!$C$1,MATCH("Declaration"&amp;ADDRESS(ROW(),COLUMN(),4)&amp;LEFT($D$9,1),L!$A:$A,0)-1,SL,,)</f>
        <v>Description of Scope:</v>
      </c>
      <c r="C10" s="122"/>
      <c r="D10" s="352" t="s">
        <v>15868</v>
      </c>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79">
        <v>1205908</v>
      </c>
      <c r="E12" s="380"/>
      <c r="F12" s="380"/>
      <c r="G12" s="380"/>
      <c r="H12" s="380"/>
      <c r="I12" s="380"/>
      <c r="J12" s="38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7"/>
      <c r="E13" s="358"/>
      <c r="F13" s="358"/>
      <c r="G13" s="358"/>
      <c r="H13" s="358"/>
      <c r="I13" s="358"/>
      <c r="J13" s="359"/>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55" t="s">
        <v>15862</v>
      </c>
      <c r="E14" s="356"/>
      <c r="F14" s="356"/>
      <c r="G14" s="356"/>
      <c r="H14" s="356"/>
      <c r="I14" s="356"/>
      <c r="J14" s="356"/>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49" t="s">
        <v>15860</v>
      </c>
      <c r="E15" s="350"/>
      <c r="F15" s="350"/>
      <c r="G15" s="350"/>
      <c r="H15" s="350"/>
      <c r="I15" s="350"/>
      <c r="J15" s="350"/>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68" t="s">
        <v>15861</v>
      </c>
      <c r="E16" s="369"/>
      <c r="F16" s="369"/>
      <c r="G16" s="369"/>
      <c r="H16" s="369"/>
      <c r="I16" s="369"/>
      <c r="J16" s="369"/>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Phone – Contact (*):</v>
      </c>
      <c r="C17" s="77"/>
      <c r="D17" s="349" t="s">
        <v>15863</v>
      </c>
      <c r="E17" s="350"/>
      <c r="F17" s="350"/>
      <c r="G17" s="350"/>
      <c r="H17" s="350"/>
      <c r="I17" s="350"/>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9" t="s">
        <v>15864</v>
      </c>
      <c r="E18" s="390"/>
      <c r="F18" s="390"/>
      <c r="G18" s="390"/>
      <c r="H18" s="390"/>
      <c r="I18" s="390"/>
      <c r="J18" s="390"/>
      <c r="K18" s="36"/>
      <c r="L18" s="110"/>
      <c r="Q18" s="3"/>
      <c r="R18" s="3"/>
      <c r="S18" s="3"/>
      <c r="T18" s="3"/>
      <c r="U18" s="3"/>
      <c r="V18" s="3"/>
      <c r="W18" s="3"/>
      <c r="X18" s="3"/>
      <c r="Y18" s="3"/>
      <c r="Z18" s="3"/>
      <c r="AA18" s="3"/>
      <c r="AB18" s="3"/>
      <c r="AC18" s="3"/>
      <c r="AD18" s="3"/>
      <c r="AE18" s="3"/>
      <c r="AF18" s="3"/>
      <c r="AG18" s="3"/>
      <c r="AH18" s="3"/>
    </row>
    <row r="19" spans="1:34" ht="22.5" customHeight="1">
      <c r="A19" s="38"/>
      <c r="B19" s="40" t="str">
        <f ca="1">OFFSET(L!$C$1,MATCH("Declaration"&amp;ADDRESS(ROW(),COLUMN(),4),L!$A:$A,0)-1,SL,,)</f>
        <v>Title - Authorizer:</v>
      </c>
      <c r="C19" s="77"/>
      <c r="D19" s="349" t="s">
        <v>15865</v>
      </c>
      <c r="E19" s="350"/>
      <c r="F19" s="350"/>
      <c r="G19" s="350"/>
      <c r="H19" s="350"/>
      <c r="I19" s="350"/>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0" t="s">
        <v>15866</v>
      </c>
      <c r="E20" s="371"/>
      <c r="F20" s="371"/>
      <c r="G20" s="371"/>
      <c r="H20" s="371"/>
      <c r="I20" s="371"/>
      <c r="J20" s="371"/>
      <c r="K20" s="36"/>
      <c r="L20" s="110"/>
      <c r="P20" s="3"/>
      <c r="Q20" s="3"/>
      <c r="R20" s="3"/>
      <c r="S20" s="3"/>
      <c r="T20" s="3"/>
      <c r="U20" s="3"/>
      <c r="V20" s="3"/>
      <c r="W20" s="3"/>
      <c r="X20" s="3"/>
      <c r="Y20" s="3"/>
      <c r="Z20" s="3"/>
      <c r="AA20" s="3"/>
      <c r="AB20" s="3"/>
      <c r="AC20" s="3"/>
      <c r="AD20" s="3"/>
      <c r="AE20" s="3"/>
      <c r="AF20" s="3"/>
      <c r="AG20" s="3"/>
      <c r="AH20" s="3"/>
    </row>
    <row r="21" spans="1:34" ht="15.75" customHeight="1">
      <c r="A21" s="38"/>
      <c r="B21" s="40" t="str">
        <f ca="1">OFFSET(L!$C$1,MATCH("Declaration"&amp;ADDRESS(ROW(),COLUMN(),4),L!$A:$A,0)-1,SL,,)</f>
        <v>Phone - Authorizer:</v>
      </c>
      <c r="C21" s="133"/>
      <c r="D21" s="323" t="s">
        <v>15867</v>
      </c>
      <c r="E21" s="324"/>
      <c r="F21" s="324"/>
      <c r="G21" s="324"/>
      <c r="H21" s="324"/>
      <c r="I21" s="324"/>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45537</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1"/>
      <c r="E23" s="38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485</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484</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1" t="s">
        <v>15859</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484</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8"/>
      <c r="I37" s="378"/>
      <c r="J37" s="378"/>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t="s">
        <v>15859</v>
      </c>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486</v>
      </c>
      <c r="E39" s="326"/>
      <c r="F39" s="47"/>
      <c r="G39" s="333" t="s">
        <v>15855</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486</v>
      </c>
      <c r="E40" s="326"/>
      <c r="F40" s="47"/>
      <c r="G40" s="333" t="s">
        <v>15855</v>
      </c>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486</v>
      </c>
      <c r="E41" s="326"/>
      <c r="F41" s="47"/>
      <c r="G41" s="333" t="s">
        <v>15855</v>
      </c>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t="s">
        <v>15859</v>
      </c>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486</v>
      </c>
      <c r="E45" s="326"/>
      <c r="F45" s="47"/>
      <c r="G45" s="333" t="s">
        <v>15856</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486</v>
      </c>
      <c r="E46" s="326"/>
      <c r="F46" s="47"/>
      <c r="G46" s="333" t="s">
        <v>15856</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486</v>
      </c>
      <c r="E47" s="326"/>
      <c r="F47" s="47"/>
      <c r="G47" s="333" t="s">
        <v>15856</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t="s">
        <v>15859</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485</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485</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2" t="s">
        <v>15859</v>
      </c>
      <c r="E56" s="373"/>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2" t="s">
        <v>2465</v>
      </c>
      <c r="E57" s="373"/>
      <c r="F57" s="47"/>
      <c r="G57" s="333" t="s">
        <v>15857</v>
      </c>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2" t="s">
        <v>2465</v>
      </c>
      <c r="E58" s="373"/>
      <c r="F58" s="47"/>
      <c r="G58" s="333" t="s">
        <v>15857</v>
      </c>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2" t="s">
        <v>2465</v>
      </c>
      <c r="E59" s="373"/>
      <c r="F59" s="47"/>
      <c r="G59" s="333" t="s">
        <v>15857</v>
      </c>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0" t="str">
        <f ca="1">D25</f>
        <v>Answer</v>
      </c>
      <c r="E61" s="330"/>
      <c r="F61" s="18"/>
      <c r="G61" s="44" t="str">
        <f ca="1">G25</f>
        <v>Comments</v>
      </c>
      <c r="H61" s="377"/>
      <c r="I61" s="377"/>
      <c r="J61" s="377"/>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1" t="s">
        <v>15859</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485</v>
      </c>
      <c r="E63" s="326"/>
      <c r="F63" s="47"/>
      <c r="G63" s="333" t="s">
        <v>15857</v>
      </c>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485</v>
      </c>
      <c r="E64" s="326"/>
      <c r="F64" s="47"/>
      <c r="G64" s="333" t="s">
        <v>15857</v>
      </c>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485</v>
      </c>
      <c r="E65" s="326"/>
      <c r="F65" s="47"/>
      <c r="G65" s="333" t="s">
        <v>15857</v>
      </c>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7" t="str">
        <f>IF(Q75="(*)","Click here to enter smelter names","")</f>
        <v/>
      </c>
      <c r="I67" s="377"/>
      <c r="J67" s="377"/>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t="s">
        <v>15859</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484</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484</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1" t="str">
        <f ca="1">OFFSET(L!$C$1,MATCH("Declaration"&amp;ADDRESS(ROW(),COLUMN(),4),L!$A:$A,0)-1,SL,,)</f>
        <v>Answer the Following Questions at a Company Level</v>
      </c>
      <c r="C73" s="391"/>
      <c r="D73" s="391"/>
      <c r="E73" s="391"/>
      <c r="F73" s="391"/>
      <c r="G73" s="391"/>
      <c r="H73" s="391"/>
      <c r="I73" s="391"/>
      <c r="J73" s="39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33" t="s">
        <v>15869</v>
      </c>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7"/>
      <c r="H76" s="387"/>
      <c r="I76" s="387"/>
      <c r="J76" s="38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15870</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33" t="s">
        <v>15871</v>
      </c>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t="s">
        <v>15869</v>
      </c>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t="s">
        <v>15872</v>
      </c>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5" t="s">
        <v>484</v>
      </c>
      <c r="E85" s="386"/>
      <c r="F85" s="57"/>
      <c r="G85" s="333" t="s">
        <v>15873</v>
      </c>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7"/>
      <c r="H86" s="387"/>
      <c r="I86" s="387"/>
      <c r="J86" s="38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484</v>
      </c>
      <c r="E87" s="326"/>
      <c r="F87" s="57"/>
      <c r="G87" s="333" t="s">
        <v>15873</v>
      </c>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8"/>
      <c r="H88" s="388"/>
      <c r="I88" s="388"/>
      <c r="J88" s="38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485</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84" t="str">
        <f>IF(OR($D$8="",$I$3=""),"","Click here to check required fields completion")</f>
        <v/>
      </c>
      <c r="C90" s="384"/>
      <c r="D90" s="384"/>
      <c r="E90" s="384"/>
      <c r="F90" s="384"/>
      <c r="G90" s="384"/>
      <c r="H90" s="384"/>
      <c r="I90" s="384"/>
      <c r="J90" s="384"/>
      <c r="K90" s="36"/>
      <c r="L90" s="100"/>
      <c r="P90" s="3"/>
      <c r="Q90" s="3"/>
      <c r="R90" s="3"/>
      <c r="S90" s="3"/>
      <c r="T90" s="3"/>
      <c r="U90" s="3"/>
      <c r="V90" s="3"/>
      <c r="W90" s="3"/>
      <c r="X90" s="3"/>
      <c r="Y90" s="3"/>
      <c r="Z90" s="3"/>
      <c r="AA90" s="3"/>
      <c r="AB90" s="3"/>
      <c r="AC90" s="3"/>
      <c r="AD90" s="3"/>
      <c r="AE90" s="3"/>
      <c r="AF90" s="3"/>
      <c r="AG90" s="3"/>
      <c r="AH90" s="3"/>
    </row>
    <row r="91" spans="1:34" ht="15.75" thickBot="1">
      <c r="A91" s="382" t="str">
        <f ca="1">OFFSET(L!$C$1,MATCH("General"&amp;"Cpy",L!$A:$A,0)-1,SL,,)</f>
        <v>© 2024 Responsible Minerals Initiative. All rights reserved.</v>
      </c>
      <c r="B91" s="383"/>
      <c r="C91" s="383"/>
      <c r="D91" s="383"/>
      <c r="E91" s="383"/>
      <c r="F91" s="383"/>
      <c r="G91" s="383"/>
      <c r="H91" s="383"/>
      <c r="I91" s="383"/>
      <c r="J91" s="38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64" stopIfTrue="1">
      <formula>IF($D$22="",TRUE)</formula>
    </cfRule>
  </conditionalFormatting>
  <conditionalFormatting sqref="D26:E26">
    <cfRule type="expression" dxfId="80" priority="142" stopIfTrue="1">
      <formula>IF($D$26="",TRUE)</formula>
    </cfRule>
  </conditionalFormatting>
  <conditionalFormatting sqref="D27:E27">
    <cfRule type="expression" dxfId="79" priority="149" stopIfTrue="1">
      <formula>IF($D$27="",TRUE)</formula>
    </cfRule>
  </conditionalFormatting>
  <conditionalFormatting sqref="D28:E28">
    <cfRule type="expression" dxfId="78" priority="150" stopIfTrue="1">
      <formula>IF($D$28="",TRUE)</formula>
    </cfRule>
  </conditionalFormatting>
  <conditionalFormatting sqref="D29:E29">
    <cfRule type="expression" dxfId="77" priority="151" stopIfTrue="1">
      <formula>IF($D$29="",TRUE)</formula>
    </cfRule>
  </conditionalFormatting>
  <conditionalFormatting sqref="D32:E32">
    <cfRule type="expression" dxfId="76" priority="60" stopIfTrue="1">
      <formula>IF(AND(OR($D$26="Yes",$D$26=""),$D$32=""),1,0)</formula>
    </cfRule>
    <cfRule type="expression" dxfId="75" priority="147" stopIfTrue="1">
      <formula>$P$26=""</formula>
    </cfRule>
  </conditionalFormatting>
  <conditionalFormatting sqref="D33:E33">
    <cfRule type="expression" dxfId="74" priority="48" stopIfTrue="1">
      <formula>$P$27=""</formula>
    </cfRule>
    <cfRule type="expression" dxfId="73" priority="47" stopIfTrue="1">
      <formula>IF(AND(OR($D$27="Yes",$D$27=""),$D$33=""),1,0)</formula>
    </cfRule>
  </conditionalFormatting>
  <conditionalFormatting sqref="D34:E34">
    <cfRule type="expression" dxfId="72" priority="6" stopIfTrue="1">
      <formula>IF(AND(OR($D$28="Yes",$D$28=""),$D$34=""),1,0)</formula>
    </cfRule>
    <cfRule type="expression" dxfId="71" priority="7" stopIfTrue="1">
      <formula>$P$28=""</formula>
    </cfRule>
  </conditionalFormatting>
  <conditionalFormatting sqref="D35:E35">
    <cfRule type="expression" dxfId="70" priority="44" stopIfTrue="1">
      <formula>IF(AND(OR($D$29="Yes",$D$29=""),$D$35=""),1,0)</formula>
    </cfRule>
    <cfRule type="expression" dxfId="69" priority="168" stopIfTrue="1">
      <formula>$P$29=""</formula>
    </cfRule>
  </conditionalFormatting>
  <conditionalFormatting sqref="D38:E38 D44:E44 D50:E50 D56:E56 D62:E62 D68:E68">
    <cfRule type="expression" dxfId="68" priority="23" stopIfTrue="1">
      <formula>$P$26=""</formula>
    </cfRule>
    <cfRule type="expression" dxfId="67" priority="24" stopIfTrue="1">
      <formula>$P$32=""</formula>
    </cfRule>
  </conditionalFormatting>
  <conditionalFormatting sqref="D38:E38">
    <cfRule type="expression" dxfId="66" priority="59" stopIfTrue="1">
      <formula>IF(AND(OR($D$26="Yes",$D$26=""),OR($D$32="Yes",$D$32=""),D38=""),1,0)</formula>
    </cfRule>
  </conditionalFormatting>
  <conditionalFormatting sqref="D39:E39 D45:E45 D51:E51 D57:E57 D63:E63 D69:E69">
    <cfRule type="expression" dxfId="65" priority="17" stopIfTrue="1">
      <formula>$P$33=""</formula>
    </cfRule>
    <cfRule type="expression" dxfId="64" priority="18" stopIfTrue="1">
      <formula>$P$39=""</formula>
    </cfRule>
  </conditionalFormatting>
  <conditionalFormatting sqref="D39:E39">
    <cfRule type="expression" dxfId="63" priority="55" stopIfTrue="1">
      <formula>IF(AND(OR($D$27="Yes",$D$27=""),OR($D$33="Yes",$D$33=""),D39=""),1,0)</formula>
    </cfRule>
  </conditionalFormatting>
  <conditionalFormatting sqref="D40:E40 D46:E46 D52:E52 D58:E58 D64:E64 D70:E70">
    <cfRule type="expression" dxfId="62" priority="12" stopIfTrue="1">
      <formula>$P$28=""</formula>
    </cfRule>
    <cfRule type="expression" dxfId="61" priority="13" stopIfTrue="1">
      <formula>$P$34=""</formula>
    </cfRule>
  </conditionalFormatting>
  <conditionalFormatting sqref="D40:E40">
    <cfRule type="expression" dxfId="60" priority="54" stopIfTrue="1">
      <formula>IF(AND(OR($D$28="Yes",$D$28=""),OR($D$34="Yes",$D$34=""),D40=""),1,0)</formula>
    </cfRule>
  </conditionalFormatting>
  <conditionalFormatting sqref="D41:E41 D47:E47 D53:E53 D59:E59 D65:E65 D71:E71">
    <cfRule type="expression" dxfId="59" priority="8" stopIfTrue="1">
      <formula>$P$29=""</formula>
    </cfRule>
    <cfRule type="expression" dxfId="58" priority="9" stopIfTrue="1">
      <formula>$P$35=""</formula>
    </cfRule>
  </conditionalFormatting>
  <conditionalFormatting sqref="D41:E41">
    <cfRule type="expression" dxfId="57" priority="170" stopIfTrue="1">
      <formula>IF(AND(OR($D$29="Yes",$D$29=""),OR($D$35="Yes",$D$35=""),D41=""),1,0)</formula>
    </cfRule>
  </conditionalFormatting>
  <conditionalFormatting sqref="D44:E44">
    <cfRule type="expression" dxfId="56" priority="58" stopIfTrue="1">
      <formula>IF(AND(OR($D$26="Yes",$D$26=""),OR($D$32="Yes",$D$32=""),D44=""),1,0)</formula>
    </cfRule>
  </conditionalFormatting>
  <conditionalFormatting sqref="D45:E45">
    <cfRule type="expression" dxfId="55" priority="20" stopIfTrue="1">
      <formula>IF(AND(OR($D$27="Yes",$D$27=""),OR($D$33="Yes",$D$33=""),D45=""),1,0)</formula>
    </cfRule>
  </conditionalFormatting>
  <conditionalFormatting sqref="D46:E46">
    <cfRule type="expression" dxfId="54" priority="45" stopIfTrue="1">
      <formula>IF(AND(OR($D$28="Yes",$D$28=""),OR($D$34="Yes",$D$34=""),D46=""),1,0)</formula>
    </cfRule>
  </conditionalFormatting>
  <conditionalFormatting sqref="D47:E47">
    <cfRule type="expression" dxfId="53" priority="53" stopIfTrue="1">
      <formula>IF(AND(OR($D$29="Yes",$D$29=""),OR($D$35="Yes",$D$35=""),D47=""),1,0)</formula>
    </cfRule>
  </conditionalFormatting>
  <conditionalFormatting sqref="D50:E50">
    <cfRule type="expression" dxfId="52" priority="26" stopIfTrue="1">
      <formula>IF(AND(OR($D$26="Yes",$D$26=""),OR($D$32="Yes",$D$32=""),D50=""),1,0)</formula>
    </cfRule>
  </conditionalFormatting>
  <conditionalFormatting sqref="D51:E51">
    <cfRule type="expression" dxfId="51" priority="165" stopIfTrue="1">
      <formula>IF(AND(OR($D$27="Yes",$D$27=""),OR($D$33="Yes",$D$33=""),D51=""),1,0)</formula>
    </cfRule>
  </conditionalFormatting>
  <conditionalFormatting sqref="D52:E52">
    <cfRule type="expression" dxfId="50" priority="16" stopIfTrue="1">
      <formula>IF(AND(OR($D$28="Yes",$D$28=""),OR($D$34="Yes",$D$34=""),D52=""),1,0)</formula>
    </cfRule>
  </conditionalFormatting>
  <conditionalFormatting sqref="D53:E53">
    <cfRule type="expression" dxfId="49" priority="39" stopIfTrue="1">
      <formula>IF(AND(OR($D$29="Yes",$D$29=""),OR($D$35="Yes",$D$35=""),D53=""),1,0)</formula>
    </cfRule>
  </conditionalFormatting>
  <conditionalFormatting sqref="D56:E56">
    <cfRule type="expression" dxfId="48" priority="34" stopIfTrue="1">
      <formula>IF(AND(OR($D$26="Yes",$D$26=""),OR($D$32="Yes",$D$32=""),D56=""),1,0)</formula>
    </cfRule>
  </conditionalFormatting>
  <conditionalFormatting sqref="D57:E57">
    <cfRule type="expression" dxfId="47" priority="22" stopIfTrue="1">
      <formula>IF(AND(OR($D$27="Yes",$D$27=""),OR($D$33="Yes",$D$33=""),D57=""),1,0)</formula>
    </cfRule>
  </conditionalFormatting>
  <conditionalFormatting sqref="D58:E58">
    <cfRule type="expression" dxfId="46" priority="15" stopIfTrue="1">
      <formula>IF(AND(OR($D$28="Yes",$D$28=""),OR($D$34="Yes",$D$34=""),D58=""),1,0)</formula>
    </cfRule>
  </conditionalFormatting>
  <conditionalFormatting sqref="D59:E59">
    <cfRule type="expression" dxfId="45" priority="11" stopIfTrue="1">
      <formula>IF(AND(OR($D$29="Yes",$D$29=""),OR($D$35="Yes",$D$35=""),D59=""),1,0)</formula>
    </cfRule>
  </conditionalFormatting>
  <conditionalFormatting sqref="D62:E62">
    <cfRule type="expression" dxfId="44" priority="33" stopIfTrue="1">
      <formula>IF(AND(OR($D$26="Yes",$D$26=""),OR($D$32="Yes",$D$32=""),D62=""),1,0)</formula>
    </cfRule>
  </conditionalFormatting>
  <conditionalFormatting sqref="D63:E63">
    <cfRule type="expression" dxfId="43" priority="19" stopIfTrue="1">
      <formula>IF(AND(OR($D$27="Yes",$D$27=""),OR($D$33="Yes",$D$33=""),D63=""),1,0)</formula>
    </cfRule>
  </conditionalFormatting>
  <conditionalFormatting sqref="D64:E64">
    <cfRule type="expression" dxfId="42" priority="14" stopIfTrue="1">
      <formula>IF(AND(OR($D$28="Yes",$D$28=""),OR($D$34="Yes",$D$34=""),D64=""),1,0)</formula>
    </cfRule>
  </conditionalFormatting>
  <conditionalFormatting sqref="D65:E65">
    <cfRule type="expression" dxfId="41" priority="10" stopIfTrue="1">
      <formula>IF(AND(OR($D$29="Yes",$D$29=""),OR($D$35="Yes",$D$35=""),D65=""),1,0)</formula>
    </cfRule>
  </conditionalFormatting>
  <conditionalFormatting sqref="D68:E68">
    <cfRule type="expression" dxfId="40" priority="25" stopIfTrue="1">
      <formula>IF(AND(OR($D$26="Yes",$D$26=""),OR($D$32="Yes",$D$32=""),D68=""),1,0)</formula>
    </cfRule>
  </conditionalFormatting>
  <conditionalFormatting sqref="D69:E69">
    <cfRule type="expression" dxfId="39" priority="21" stopIfTrue="1">
      <formula>IF(AND(OR($D$27="Yes",$D$27=""),OR($D$33="Yes",$D$33=""),D69=""),1,0)</formula>
    </cfRule>
  </conditionalFormatting>
  <conditionalFormatting sqref="D70:E70">
    <cfRule type="expression" dxfId="38" priority="167" stopIfTrue="1">
      <formula>IF(AND(OR($D$28="Yes",$D$28=""),OR($D$34="Yes",$D$34=""),D70=""),1,0)</formula>
    </cfRule>
  </conditionalFormatting>
  <conditionalFormatting sqref="D71:E71">
    <cfRule type="expression" dxfId="37" priority="169" stopIfTrue="1">
      <formula>IF(AND(OR($D$29="Yes",$D$29=""),OR($D$35="Yes",$D$35=""),D71=""),1,0)</formula>
    </cfRule>
  </conditionalFormatting>
  <conditionalFormatting sqref="D75:E75 D77:E77 D79:E79 D81:E81 D83 D85:E85 D87:E87 D89:E89">
    <cfRule type="expression" dxfId="36" priority="90" stopIfTrue="1">
      <formula>AND(OR($D$26="No",AND($D$26="Yes",$D$32="No")),OR($D$27="No",AND($D$27="Yes",$D$33="No")),OR($D$28="No",AND($D$28="Yes",$D$34="No")),OR($D$29="No",AND($D$29="Yes",$D$35="No")))</formula>
    </cfRule>
    <cfRule type="expression" dxfId="35" priority="91" stopIfTrue="1">
      <formula>IF(D75="",TRUE)</formula>
    </cfRule>
  </conditionalFormatting>
  <conditionalFormatting sqref="D9:G9">
    <cfRule type="expression" dxfId="34" priority="157" stopIfTrue="1">
      <formula>IF($D$9="",TRUE)</formula>
    </cfRule>
  </conditionalFormatting>
  <conditionalFormatting sqref="D8:J8">
    <cfRule type="expression" dxfId="33" priority="156" stopIfTrue="1">
      <formula>IF($D$8="",TRUE)</formula>
    </cfRule>
  </conditionalFormatting>
  <conditionalFormatting sqref="D10:J10">
    <cfRule type="expression" dxfId="32" priority="171" stopIfTrue="1">
      <formula>IF(AND($D$10="",$D$9=$R$9),TRUE)</formula>
    </cfRule>
    <cfRule type="expression" dxfId="31" priority="61" stopIfTrue="1">
      <formula>IF($D$9=$Q$9,TRUE)</formula>
    </cfRule>
  </conditionalFormatting>
  <conditionalFormatting sqref="G77:J77">
    <cfRule type="expression" dxfId="30" priority="62" stopIfTrue="1">
      <formula>IF(AND($D$77="Yes",$G$77=""),TRUE)</formula>
    </cfRule>
  </conditionalFormatting>
  <conditionalFormatting sqref="G85:J85">
    <cfRule type="expression" dxfId="29" priority="52" stopIfTrue="1">
      <formula>IF(AND($D$85="Yes, using other format (describe)",$G$85=""),TRUE)</formula>
    </cfRule>
  </conditionalFormatting>
  <conditionalFormatting sqref="D15:J15">
    <cfRule type="expression" dxfId="28" priority="3" stopIfTrue="1">
      <formula>IF($D$15="",TRUE)</formula>
    </cfRule>
  </conditionalFormatting>
  <conditionalFormatting sqref="D16:J16">
    <cfRule type="expression" dxfId="27" priority="4" stopIfTrue="1">
      <formula>IF($D$16="",TRUE)</formula>
    </cfRule>
  </conditionalFormatting>
  <conditionalFormatting sqref="D17:J17">
    <cfRule type="expression" dxfId="26" priority="1" stopIfTrue="1">
      <formula>IF($D$17="",TRUE)</formula>
    </cfRule>
  </conditionalFormatting>
  <conditionalFormatting sqref="D18:J18">
    <cfRule type="expression" dxfId="25" priority="5" stopIfTrue="1">
      <formula>IF($D$18="",TRUE)</formula>
    </cfRule>
  </conditionalFormatting>
  <conditionalFormatting sqref="D20:J20">
    <cfRule type="expression" dxfId="24" priority="2" stopIfTrue="1">
      <formula>IF($D$20="",TRUE)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 ref="D20" r:id="rId4" display="mailto:A.Allaire@ats.net"/>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31" zoomScaleNormal="100" zoomScalePageLayoutView="55" workbookViewId="0">
      <selection activeCell="A5" sqref="A5:XFD12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2" t="str">
        <f ca="1">OFFSET(L!$C$1,MATCH("Smelter List"&amp;ADDRESS(ROW(),COLUMN(),4),L!$A:$A,0)-1,SL,,)</f>
        <v>Link to "RMAP Conformant Smelter List"</v>
      </c>
      <c r="K2" s="393"/>
      <c r="L2" s="393"/>
      <c r="M2" s="393"/>
      <c r="N2" s="393"/>
      <c r="O2" s="393"/>
      <c r="P2" s="195"/>
      <c r="Q2" s="196"/>
      <c r="R2" s="197"/>
      <c r="S2" s="197"/>
      <c r="T2" s="197"/>
      <c r="AH2" s="145" t="s">
        <v>484</v>
      </c>
    </row>
    <row r="3" spans="1:34" s="221" customFormat="1" ht="173.45" customHeight="1">
      <c r="A3" s="171"/>
      <c r="B3" s="39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4"/>
      <c r="D3" s="394"/>
      <c r="E3" s="394"/>
      <c r="F3" s="222"/>
      <c r="G3" s="395" t="str">
        <f ca="1">OFFSET(L!$C$1,MATCH("General"&amp;"Cpy",L!$A:$A,0)-1,SL,,)</f>
        <v>© 2024 Responsible Minerals Initiative. All rights reserved.</v>
      </c>
      <c r="H3" s="395"/>
      <c r="I3" s="396"/>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25" customHeight="1">
      <c r="A5" s="262" t="s">
        <v>650</v>
      </c>
      <c r="B5" s="182" t="str">
        <f ca="1">IF(LEN(A5)=0,"",INDEX('Smelter Look-up'!$A:$A,MATCH($A5,'Smelter Look-up'!$E:$E,0)))</f>
        <v>Gold</v>
      </c>
      <c r="C5" s="186" t="str">
        <f ca="1">IF(LEN(A5)=0,"",INDEX('Smelter Look-up'!$C:$C,MATCH($A5,'Smelter Look-up'!$E:$E,0)))</f>
        <v>Argor-Heraeus S.A.</v>
      </c>
      <c r="D5" s="230"/>
      <c r="E5" s="182" t="str">
        <f ca="1">IF(ISERROR($V5),"",OFFSET('Smelter Look-up'!$D$4,$V5-4,0)&amp;"")</f>
        <v>SWITZERLAND</v>
      </c>
      <c r="F5" s="182" t="str">
        <f ca="1">IF(ISERROR($V5),"",OFFSET('Smelter Look-up'!$E$4,$V5-4,0))</f>
        <v>CID000077</v>
      </c>
      <c r="G5" s="182" t="str">
        <f ca="1">IF(C5=$X$4,IF(ISERROR($V5),"Enter smelter details","RMI"),IF(ISERROR($V5),"",OFFSET('Smelter Look-up'!$F$4,$V5-4,0)))</f>
        <v>RMI</v>
      </c>
      <c r="H5" s="183">
        <f ca="1">IF(ISERROR($V5),"",OFFSET('Smelter Look-up'!$G$4,$V5-4,0))</f>
        <v>0</v>
      </c>
      <c r="I5" s="184" t="str">
        <f ca="1">IF(ISERROR($V5),"",OFFSET('Smelter Look-up'!$H$4,$V5-4,0))</f>
        <v>Mendrisio</v>
      </c>
      <c r="J5" s="184" t="str">
        <f ca="1">IF(ISERROR($V5),"",OFFSET('Smelter Look-up'!$I$4,$V5-4,0))</f>
        <v>Ticino</v>
      </c>
      <c r="K5" s="224"/>
      <c r="L5" s="224"/>
      <c r="M5" s="224"/>
      <c r="N5" s="224"/>
      <c r="O5" s="224"/>
      <c r="P5" s="185"/>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 ca="1">IF(C5="",NA(),IF(OR(C5="Smelter not listed",C5="Smelter not yet identified"),MATCH($B5&amp;$D5,'Smelter Look-up'!$J:$J,0),MATCH($B5&amp;$C5,'Smelter Look-up'!$J:$J,0)))</f>
        <v>28</v>
      </c>
      <c r="X5" s="227">
        <f t="shared" ref="X5" ca="1" si="0">IF(AND(C5="Smelter not listed",OR(LEN(D5)=0,LEN(E5)=0)),1,0)</f>
        <v>0</v>
      </c>
      <c r="AB5" s="228" t="str">
        <f t="shared" ref="AB5" ca="1" si="1">B5&amp;C5</f>
        <v>GoldArgor-Heraeus S.A.</v>
      </c>
    </row>
    <row r="6" spans="1:34" s="227" customFormat="1" ht="20.25" customHeight="1">
      <c r="A6" s="262" t="s">
        <v>651</v>
      </c>
      <c r="B6" s="182" t="str">
        <f ca="1">IF(LEN(A6)=0,"",INDEX('Smelter Look-up'!$A:$A,MATCH($A6,'Smelter Look-up'!$E:$E,0)))</f>
        <v>Gold</v>
      </c>
      <c r="C6" s="186" t="str">
        <f ca="1">IF(LEN(A6)=0,"",INDEX('Smelter Look-up'!$C:$C,MATCH($A6,'Smelter Look-up'!$E:$E,0)))</f>
        <v>Asahi Pretec Corp.</v>
      </c>
      <c r="D6" s="230"/>
      <c r="E6" s="182" t="str">
        <f ca="1">IF(ISERROR($V6),"",OFFSET('Smelter Look-up'!$D$4,$V6-4,0)&amp;"")</f>
        <v>JAPAN</v>
      </c>
      <c r="F6" s="182" t="str">
        <f ca="1">IF(ISERROR($V6),"",OFFSET('Smelter Look-up'!$E$4,$V6-4,0))</f>
        <v>CID000082</v>
      </c>
      <c r="G6" s="182" t="str">
        <f ca="1">IF(C6=$X$4,IF(ISERROR($V6),"Enter smelter details","RMI"),IF(ISERROR($V6),"",OFFSET('Smelter Look-up'!$F$4,$V6-4,0)))</f>
        <v>RMI</v>
      </c>
      <c r="H6" s="183">
        <f ca="1">IF(ISERROR($V6),"",OFFSET('Smelter Look-up'!$G$4,$V6-4,0))</f>
        <v>0</v>
      </c>
      <c r="I6" s="184" t="str">
        <f ca="1">IF(ISERROR($V6),"",OFFSET('Smelter Look-up'!$H$4,$V6-4,0))</f>
        <v>Kobe</v>
      </c>
      <c r="J6" s="184" t="str">
        <f ca="1">IF(ISERROR($V6),"",OFFSET('Smelter Look-up'!$I$4,$V6-4,0))</f>
        <v>Hyogo</v>
      </c>
      <c r="K6" s="224"/>
      <c r="L6" s="224"/>
      <c r="M6" s="224"/>
      <c r="N6" s="224"/>
      <c r="O6" s="224"/>
      <c r="P6" s="185"/>
      <c r="Q6" s="225"/>
      <c r="R6" s="182" t="str">
        <f ca="1">IF(ISERROR($V6),"",OFFSET('Smelter Look-up'!$C$4,$V6-4,0)&amp;"")</f>
        <v>Asahi Pretec Corp.</v>
      </c>
      <c r="S6" s="181" t="str">
        <f t="shared" ref="S6:S37" ca="1" si="2">IF(B6="","",IF(ISERROR(MATCH($E6,CL,0)),"Unknown",INDIRECT("'C'!$A$"&amp;MATCH($E6,CL,0)+1)))</f>
        <v>JP</v>
      </c>
      <c r="T6" s="181" t="str">
        <f ca="1">IF(B6="","",IF(ISERROR(MATCH($J6,SorP!$B$1:$B$6226,0)),"",INDIRECT("'SorP'!$A$"&amp;MATCH($S6&amp;$J6,SorP!C:C,0))))</f>
        <v>JP-28</v>
      </c>
      <c r="U6" s="201"/>
      <c r="V6" s="226">
        <f ca="1">IF(C6="",NA(),IF(OR(C6="Smelter not listed",C6="Smelter not yet identified"),MATCH($B6&amp;$D6,'Smelter Look-up'!$J:$J,0),MATCH($B6&amp;$C6,'Smelter Look-up'!$J:$J,0)))</f>
        <v>29</v>
      </c>
      <c r="X6" s="227">
        <f t="shared" ref="X6:X37" ca="1" si="3">IF(AND(C6="Smelter not listed",OR(LEN(D6)=0,LEN(E6)=0)),1,0)</f>
        <v>0</v>
      </c>
      <c r="AB6" s="228" t="str">
        <f t="shared" ref="AB6:AB37" ca="1" si="4">B6&amp;C6</f>
        <v>GoldAsahi Pretec Corp.</v>
      </c>
    </row>
    <row r="7" spans="1:34" s="227" customFormat="1" ht="20.25" customHeight="1">
      <c r="A7" s="262" t="s">
        <v>654</v>
      </c>
      <c r="B7" s="182" t="str">
        <f ca="1">IF(LEN(A7)=0,"",INDEX('Smelter Look-up'!$A:$A,MATCH($A7,'Smelter Look-up'!$E:$E,0)))</f>
        <v>Gold</v>
      </c>
      <c r="C7" s="186" t="str">
        <f ca="1">IF(LEN(A7)=0,"",INDEX('Smelter Look-up'!$C:$C,MATCH($A7,'Smelter Look-up'!$E:$E,0)))</f>
        <v>Aurubis AG</v>
      </c>
      <c r="D7" s="230"/>
      <c r="E7" s="182" t="str">
        <f ca="1">IF(ISERROR($V7),"",OFFSET('Smelter Look-up'!$D$4,$V7-4,0)&amp;"")</f>
        <v>GERMANY</v>
      </c>
      <c r="F7" s="182" t="str">
        <f ca="1">IF(ISERROR($V7),"",OFFSET('Smelter Look-up'!$E$4,$V7-4,0))</f>
        <v>CID000113</v>
      </c>
      <c r="G7" s="182" t="str">
        <f ca="1">IF(C7=$X$4,IF(ISERROR($V7),"Enter smelter details","RMI"),IF(ISERROR($V7),"",OFFSET('Smelter Look-up'!$F$4,$V7-4,0)))</f>
        <v>RMI</v>
      </c>
      <c r="H7" s="183">
        <f ca="1">IF(ISERROR($V7),"",OFFSET('Smelter Look-up'!$G$4,$V7-4,0))</f>
        <v>0</v>
      </c>
      <c r="I7" s="184" t="str">
        <f ca="1">IF(ISERROR($V7),"",OFFSET('Smelter Look-up'!$H$4,$V7-4,0))</f>
        <v>Hamburg</v>
      </c>
      <c r="J7" s="184" t="str">
        <f ca="1">IF(ISERROR($V7),"",OFFSET('Smelter Look-up'!$I$4,$V7-4,0))</f>
        <v>Hamburg</v>
      </c>
      <c r="K7" s="224"/>
      <c r="L7" s="224"/>
      <c r="M7" s="224"/>
      <c r="N7" s="224"/>
      <c r="O7" s="224"/>
      <c r="P7" s="185"/>
      <c r="Q7" s="225"/>
      <c r="R7" s="182" t="str">
        <f ca="1">IF(ISERROR($V7),"",OFFSET('Smelter Look-up'!$C$4,$V7-4,0)&amp;"")</f>
        <v>Aurubis AG</v>
      </c>
      <c r="S7" s="181" t="str">
        <f t="shared" ca="1" si="2"/>
        <v>DE</v>
      </c>
      <c r="T7" s="181" t="str">
        <f ca="1">IF(B7="","",IF(ISERROR(MATCH($J7,SorP!$B$1:$B$6226,0)),"",INDIRECT("'SorP'!$A$"&amp;MATCH($S7&amp;$J7,SorP!C:C,0))))</f>
        <v>DE-HH</v>
      </c>
      <c r="U7" s="201"/>
      <c r="V7" s="226">
        <f ca="1">IF(C7="",NA(),IF(OR(C7="Smelter not listed",C7="Smelter not yet identified"),MATCH($B7&amp;$D7,'Smelter Look-up'!$J:$J,0),MATCH($B7&amp;$C7,'Smelter Look-up'!$J:$J,0)))</f>
        <v>38</v>
      </c>
      <c r="X7" s="227">
        <f t="shared" ca="1" si="3"/>
        <v>0</v>
      </c>
      <c r="AB7" s="228" t="str">
        <f t="shared" ca="1" si="4"/>
        <v>GoldAurubis AG</v>
      </c>
    </row>
    <row r="8" spans="1:34" s="227" customFormat="1" ht="20.25" customHeight="1">
      <c r="A8" s="262" t="s">
        <v>658</v>
      </c>
      <c r="B8" s="182" t="str">
        <f ca="1">IF(LEN(A8)=0,"",INDEX('Smelter Look-up'!$A:$A,MATCH($A8,'Smelter Look-up'!$E:$E,0)))</f>
        <v>Gold</v>
      </c>
      <c r="C8" s="186" t="str">
        <f ca="1">IF(LEN(A8)=0,"",INDEX('Smelter Look-up'!$C:$C,MATCH($A8,'Smelter Look-up'!$E:$E,0)))</f>
        <v>C. Hafner GmbH + Co. KG</v>
      </c>
      <c r="D8" s="230"/>
      <c r="E8" s="182" t="str">
        <f ca="1">IF(ISERROR($V8),"",OFFSET('Smelter Look-up'!$D$4,$V8-4,0)&amp;"")</f>
        <v>GERMANY</v>
      </c>
      <c r="F8" s="182" t="str">
        <f ca="1">IF(ISERROR($V8),"",OFFSET('Smelter Look-up'!$E$4,$V8-4,0))</f>
        <v>CID000176</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C. Hafner GmbH + Co. KG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44</v>
      </c>
      <c r="X8" s="227">
        <f t="shared" ca="1" si="3"/>
        <v>0</v>
      </c>
      <c r="AB8" s="228" t="str">
        <f t="shared" ca="1" si="4"/>
        <v>GoldC. Hafner GmbH + Co. KG</v>
      </c>
    </row>
    <row r="9" spans="1:34" s="227" customFormat="1" ht="20.25" customHeight="1">
      <c r="A9" s="262" t="s">
        <v>662</v>
      </c>
      <c r="B9" s="182" t="str">
        <f ca="1">IF(LEN(A9)=0,"",INDEX('Smelter Look-up'!$A:$A,MATCH($A9,'Smelter Look-up'!$E:$E,0)))</f>
        <v>Gold</v>
      </c>
      <c r="C9" s="186" t="str">
        <f ca="1">IF(LEN(A9)=0,"",INDEX('Smelter Look-up'!$C:$C,MATCH($A9,'Smelter Look-up'!$E:$E,0)))</f>
        <v>Chimet S.p.A.</v>
      </c>
      <c r="D9" s="230"/>
      <c r="E9" s="182" t="str">
        <f ca="1">IF(ISERROR($V9),"",OFFSET('Smelter Look-up'!$D$4,$V9-4,0)&amp;"")</f>
        <v>ITALY</v>
      </c>
      <c r="F9" s="182" t="str">
        <f ca="1">IF(ISERROR($V9),"",OFFSET('Smelter Look-up'!$E$4,$V9-4,0))</f>
        <v>CID000233</v>
      </c>
      <c r="G9" s="182" t="str">
        <f ca="1">IF(C9=$X$4,IF(ISERROR($V9),"Enter smelter details","RMI"),IF(ISERROR($V9),"",OFFSET('Smelter Look-up'!$F$4,$V9-4,0)))</f>
        <v>RMI</v>
      </c>
      <c r="H9" s="183">
        <f ca="1">IF(ISERROR($V9),"",OFFSET('Smelter Look-up'!$G$4,$V9-4,0))</f>
        <v>0</v>
      </c>
      <c r="I9" s="184" t="str">
        <f ca="1">IF(ISERROR($V9),"",OFFSET('Smelter Look-up'!$H$4,$V9-4,0))</f>
        <v>Arezzo</v>
      </c>
      <c r="J9" s="184" t="str">
        <f ca="1">IF(ISERROR($V9),"",OFFSET('Smelter Look-up'!$I$4,$V9-4,0))</f>
        <v>Toscana</v>
      </c>
      <c r="K9" s="224"/>
      <c r="L9" s="224"/>
      <c r="M9" s="224"/>
      <c r="N9" s="224"/>
      <c r="O9" s="224"/>
      <c r="P9" s="185"/>
      <c r="Q9" s="225"/>
      <c r="R9" s="182" t="str">
        <f ca="1">IF(ISERROR($V9),"",OFFSET('Smelter Look-up'!$C$4,$V9-4,0)&amp;"")</f>
        <v>Chimet S.p.A.</v>
      </c>
      <c r="S9" s="181" t="str">
        <f t="shared" ca="1" si="2"/>
        <v>IT</v>
      </c>
      <c r="T9" s="181" t="str">
        <f ca="1">IF(B9="","",IF(ISERROR(MATCH($J9,SorP!$B$1:$B$6226,0)),"",INDIRECT("'SorP'!$A$"&amp;MATCH($S9&amp;$J9,SorP!C:C,0))))</f>
        <v>IT-52</v>
      </c>
      <c r="U9" s="201"/>
      <c r="V9" s="226">
        <f ca="1">IF(C9="",NA(),IF(OR(C9="Smelter not listed",C9="Smelter not yet identified"),MATCH($B9&amp;$D9,'Smelter Look-up'!$J:$J,0),MATCH($B9&amp;$C9,'Smelter Look-up'!$J:$J,0)))</f>
        <v>57</v>
      </c>
      <c r="X9" s="227">
        <f t="shared" ca="1" si="3"/>
        <v>0</v>
      </c>
      <c r="AB9" s="228" t="str">
        <f t="shared" ca="1" si="4"/>
        <v>GoldChimet S.p.A.</v>
      </c>
    </row>
    <row r="10" spans="1:34" s="227" customFormat="1" ht="20.25" customHeight="1">
      <c r="A10" s="262" t="s">
        <v>1398</v>
      </c>
      <c r="B10" s="182" t="str">
        <f ca="1">IF(LEN(A10)=0,"",INDEX('Smelter Look-up'!$A:$A,MATCH($A10,'Smelter Look-up'!$E:$E,0)))</f>
        <v>Tin</v>
      </c>
      <c r="C10" s="186" t="str">
        <f ca="1">IF(LEN(A10)=0,"",INDEX('Smelter Look-up'!$C:$C,MATCH($A10,'Smelter Look-up'!$E:$E,0)))</f>
        <v>Dowa</v>
      </c>
      <c r="D10" s="230"/>
      <c r="E10" s="182" t="str">
        <f ca="1">IF(ISERROR($V10),"",OFFSET('Smelter Look-up'!$D$4,$V10-4,0)&amp;"")</f>
        <v>JAPAN</v>
      </c>
      <c r="F10" s="182" t="str">
        <f ca="1">IF(ISERROR($V10),"",OFFSET('Smelter Look-up'!$E$4,$V10-4,0))</f>
        <v>CID000402</v>
      </c>
      <c r="G10" s="182" t="str">
        <f ca="1">IF(C10=$X$4,IF(ISERROR($V10),"Enter smelter details","RMI"),IF(ISERROR($V10),"",OFFSET('Smelter Look-up'!$F$4,$V10-4,0)))</f>
        <v>RMI</v>
      </c>
      <c r="H10" s="183">
        <f ca="1">IF(ISERROR($V10),"",OFFSET('Smelter Look-up'!$G$4,$V10-4,0))</f>
        <v>0</v>
      </c>
      <c r="I10" s="184" t="str">
        <f ca="1">IF(ISERROR($V10),"",OFFSET('Smelter Look-up'!$H$4,$V10-4,0))</f>
        <v>Kosaka</v>
      </c>
      <c r="J10" s="184" t="str">
        <f ca="1">IF(ISERROR($V10),"",OFFSET('Smelter Look-up'!$I$4,$V10-4,0))</f>
        <v>Akita</v>
      </c>
      <c r="K10" s="224"/>
      <c r="L10" s="224"/>
      <c r="M10" s="224"/>
      <c r="N10" s="224"/>
      <c r="O10" s="224"/>
      <c r="P10" s="185"/>
      <c r="Q10" s="225"/>
      <c r="R10" s="182" t="str">
        <f ca="1">IF(ISERROR($V10),"",OFFSET('Smelter Look-up'!$C$4,$V10-4,0)&amp;"")</f>
        <v>Dowa</v>
      </c>
      <c r="S10" s="181" t="str">
        <f t="shared" ca="1" si="2"/>
        <v>JP</v>
      </c>
      <c r="T10" s="181" t="str">
        <f ca="1">IF(B10="","",IF(ISERROR(MATCH($J10,SorP!$B$1:$B$6226,0)),"",INDIRECT("'SorP'!$A$"&amp;MATCH($S10&amp;$J10,SorP!C:C,0))))</f>
        <v>JP-05</v>
      </c>
      <c r="U10" s="201"/>
      <c r="V10" s="226">
        <f ca="1">IF(C10="",NA(),IF(OR(C10="Smelter not listed",C10="Smelter not yet identified"),MATCH($B10&amp;$D10,'Smelter Look-up'!$J:$J,0),MATCH($B10&amp;$C10,'Smelter Look-up'!$J:$J,0)))</f>
        <v>429</v>
      </c>
      <c r="X10" s="227">
        <f t="shared" ca="1" si="3"/>
        <v>0</v>
      </c>
      <c r="AB10" s="228" t="str">
        <f t="shared" ca="1" si="4"/>
        <v>TinDowa</v>
      </c>
    </row>
    <row r="11" spans="1:34" s="227" customFormat="1" ht="20.25" customHeight="1">
      <c r="A11" s="262" t="s">
        <v>672</v>
      </c>
      <c r="B11" s="182" t="str">
        <f ca="1">IF(LEN(A11)=0,"",INDEX('Smelter Look-up'!$A:$A,MATCH($A11,'Smelter Look-up'!$E:$E,0)))</f>
        <v>Gold</v>
      </c>
      <c r="C11" s="186" t="str">
        <f ca="1">IF(LEN(A11)=0,"",INDEX('Smelter Look-up'!$C:$C,MATCH($A11,'Smelter Look-up'!$E:$E,0)))</f>
        <v>Heimerle + Meule GmbH</v>
      </c>
      <c r="D11" s="230"/>
      <c r="E11" s="182" t="str">
        <f ca="1">IF(ISERROR($V11),"",OFFSET('Smelter Look-up'!$D$4,$V11-4,0)&amp;"")</f>
        <v>GERMANY</v>
      </c>
      <c r="F11" s="182" t="str">
        <f ca="1">IF(ISERROR($V11),"",OFFSET('Smelter Look-up'!$E$4,$V11-4,0))</f>
        <v>CID000694</v>
      </c>
      <c r="G11" s="182" t="str">
        <f ca="1">IF(C11=$X$4,IF(ISERROR($V11),"Enter smelter details","RMI"),IF(ISERROR($V11),"",OFFSET('Smelter Look-up'!$F$4,$V11-4,0)))</f>
        <v>RMI</v>
      </c>
      <c r="H11" s="183">
        <f ca="1">IF(ISERROR($V11),"",OFFSET('Smelter Look-up'!$G$4,$V11-4,0))</f>
        <v>0</v>
      </c>
      <c r="I11" s="184" t="str">
        <f ca="1">IF(ISERROR($V11),"",OFFSET('Smelter Look-up'!$H$4,$V11-4,0))</f>
        <v>Pforzheim</v>
      </c>
      <c r="J11" s="184" t="str">
        <f ca="1">IF(ISERROR($V11),"",OFFSET('Smelter Look-up'!$I$4,$V11-4,0))</f>
        <v>Baden-Württemberg</v>
      </c>
      <c r="K11" s="224"/>
      <c r="L11" s="224"/>
      <c r="M11" s="224"/>
      <c r="N11" s="224"/>
      <c r="O11" s="224"/>
      <c r="P11" s="185"/>
      <c r="Q11" s="225"/>
      <c r="R11" s="182" t="str">
        <f ca="1">IF(ISERROR($V11),"",OFFSET('Smelter Look-up'!$C$4,$V11-4,0)&amp;"")</f>
        <v>Heimerle + Meule GmbH</v>
      </c>
      <c r="S11" s="181" t="str">
        <f t="shared" ca="1" si="2"/>
        <v>DE</v>
      </c>
      <c r="T11" s="181" t="str">
        <f ca="1">IF(B11="","",IF(ISERROR(MATCH($J11,SorP!$B$1:$B$6226,0)),"",INDIRECT("'SorP'!$A$"&amp;MATCH($S11&amp;$J11,SorP!C:C,0))))</f>
        <v>DE-BW</v>
      </c>
      <c r="U11" s="201"/>
      <c r="V11" s="226">
        <f ca="1">IF(C11="",NA(),IF(OR(C11="Smelter not listed",C11="Smelter not yet identified"),MATCH($B11&amp;$D11,'Smelter Look-up'!$J:$J,0),MATCH($B11&amp;$C11,'Smelter Look-up'!$J:$J,0)))</f>
        <v>105</v>
      </c>
      <c r="X11" s="227">
        <f t="shared" ca="1" si="3"/>
        <v>0</v>
      </c>
      <c r="AB11" s="228" t="str">
        <f t="shared" ca="1" si="4"/>
        <v>GoldHeimerle + Meule GmbH</v>
      </c>
    </row>
    <row r="12" spans="1:34" s="227" customFormat="1" ht="20.25" customHeight="1">
      <c r="A12" s="262" t="s">
        <v>674</v>
      </c>
      <c r="B12" s="182" t="str">
        <f ca="1">IF(LEN(A12)=0,"",INDEX('Smelter Look-up'!$A:$A,MATCH($A12,'Smelter Look-up'!$E:$E,0)))</f>
        <v>Gold</v>
      </c>
      <c r="C12" s="186" t="str">
        <f ca="1">IF(LEN(A12)=0,"",INDEX('Smelter Look-up'!$C:$C,MATCH($A12,'Smelter Look-up'!$E:$E,0)))</f>
        <v>Heraeus Germany GmbH Co. KG</v>
      </c>
      <c r="D12" s="230"/>
      <c r="E12" s="182" t="str">
        <f ca="1">IF(ISERROR($V12),"",OFFSET('Smelter Look-up'!$D$4,$V12-4,0)&amp;"")</f>
        <v>GERMANY</v>
      </c>
      <c r="F12" s="182" t="str">
        <f ca="1">IF(ISERROR($V12),"",OFFSET('Smelter Look-up'!$E$4,$V12-4,0))</f>
        <v>CID000711</v>
      </c>
      <c r="G12" s="182" t="str">
        <f ca="1">IF(C12=$X$4,IF(ISERROR($V12),"Enter smelter details","RMI"),IF(ISERROR($V12),"",OFFSET('Smelter Look-up'!$F$4,$V12-4,0)))</f>
        <v>RMI</v>
      </c>
      <c r="H12" s="183">
        <f ca="1">IF(ISERROR($V12),"",OFFSET('Smelter Look-up'!$G$4,$V12-4,0))</f>
        <v>0</v>
      </c>
      <c r="I12" s="184" t="str">
        <f ca="1">IF(ISERROR($V12),"",OFFSET('Smelter Look-up'!$H$4,$V12-4,0))</f>
        <v>Hanau</v>
      </c>
      <c r="J12" s="184" t="str">
        <f ca="1">IF(ISERROR($V12),"",OFFSET('Smelter Look-up'!$I$4,$V12-4,0))</f>
        <v>Hessen</v>
      </c>
      <c r="K12" s="224"/>
      <c r="L12" s="224"/>
      <c r="M12" s="224"/>
      <c r="N12" s="224"/>
      <c r="O12" s="224"/>
      <c r="P12" s="185"/>
      <c r="Q12" s="225"/>
      <c r="R12" s="182" t="str">
        <f ca="1">IF(ISERROR($V12),"",OFFSET('Smelter Look-up'!$C$4,$V12-4,0)&amp;"")</f>
        <v>Heraeus Germany GmbH Co. KG</v>
      </c>
      <c r="S12" s="181" t="str">
        <f t="shared" ca="1" si="2"/>
        <v>DE</v>
      </c>
      <c r="T12" s="181" t="str">
        <f ca="1">IF(B12="","",IF(ISERROR(MATCH($J12,SorP!$B$1:$B$6226,0)),"",INDIRECT("'SorP'!$A$"&amp;MATCH($S12&amp;$J12,SorP!C:C,0))))</f>
        <v>DE-HE</v>
      </c>
      <c r="U12" s="201"/>
      <c r="V12" s="226">
        <f ca="1">IF(C12="",NA(),IF(OR(C12="Smelter not listed",C12="Smelter not yet identified"),MATCH($B12&amp;$D12,'Smelter Look-up'!$J:$J,0),MATCH($B12&amp;$C12,'Smelter Look-up'!$J:$J,0)))</f>
        <v>109</v>
      </c>
      <c r="X12" s="227">
        <f t="shared" ca="1" si="3"/>
        <v>0</v>
      </c>
      <c r="AB12" s="228" t="str">
        <f t="shared" ca="1" si="4"/>
        <v>GoldHeraeus Germany GmbH Co. KG</v>
      </c>
    </row>
    <row r="13" spans="1:34" s="227" customFormat="1" ht="20.25" customHeight="1">
      <c r="A13" s="262" t="s">
        <v>678</v>
      </c>
      <c r="B13" s="182" t="str">
        <f ca="1">IF(LEN(A13)=0,"",INDEX('Smelter Look-up'!$A:$A,MATCH($A13,'Smelter Look-up'!$E:$E,0)))</f>
        <v>Gold</v>
      </c>
      <c r="C13" s="186" t="str">
        <f ca="1">IF(LEN(A13)=0,"",INDEX('Smelter Look-up'!$C:$C,MATCH($A13,'Smelter Look-up'!$E:$E,0)))</f>
        <v>Ishifuku Metal Industry Co., Ltd.</v>
      </c>
      <c r="D13" s="230"/>
      <c r="E13" s="182" t="str">
        <f ca="1">IF(ISERROR($V13),"",OFFSET('Smelter Look-up'!$D$4,$V13-4,0)&amp;"")</f>
        <v>JAPAN</v>
      </c>
      <c r="F13" s="182" t="str">
        <f ca="1">IF(ISERROR($V13),"",OFFSET('Smelter Look-up'!$E$4,$V13-4,0))</f>
        <v>CID000807</v>
      </c>
      <c r="G13" s="182" t="str">
        <f ca="1">IF(C13=$X$4,IF(ISERROR($V13),"Enter smelter details","RMI"),IF(ISERROR($V13),"",OFFSET('Smelter Look-up'!$F$4,$V13-4,0)))</f>
        <v>RMI</v>
      </c>
      <c r="H13" s="183">
        <f ca="1">IF(ISERROR($V13),"",OFFSET('Smelter Look-up'!$G$4,$V13-4,0))</f>
        <v>0</v>
      </c>
      <c r="I13" s="184" t="str">
        <f ca="1">IF(ISERROR($V13),"",OFFSET('Smelter Look-up'!$H$4,$V13-4,0))</f>
        <v>Soka</v>
      </c>
      <c r="J13" s="184" t="str">
        <f ca="1">IF(ISERROR($V13),"",OFFSET('Smelter Look-up'!$I$4,$V13-4,0))</f>
        <v>Saitama</v>
      </c>
      <c r="K13" s="224"/>
      <c r="L13" s="224"/>
      <c r="M13" s="224"/>
      <c r="N13" s="224"/>
      <c r="O13" s="224"/>
      <c r="P13" s="185"/>
      <c r="Q13" s="225"/>
      <c r="R13" s="182" t="str">
        <f ca="1">IF(ISERROR($V13),"",OFFSET('Smelter Look-up'!$C$4,$V13-4,0)&amp;"")</f>
        <v>Ishifuku Metal Industry Co., Ltd.</v>
      </c>
      <c r="S13" s="181" t="str">
        <f t="shared" ca="1" si="2"/>
        <v>JP</v>
      </c>
      <c r="T13" s="181" t="str">
        <f ca="1">IF(B13="","",IF(ISERROR(MATCH($J13,SorP!$B$1:$B$6226,0)),"",INDIRECT("'SorP'!$A$"&amp;MATCH($S13&amp;$J13,SorP!C:C,0))))</f>
        <v>JP-11</v>
      </c>
      <c r="U13" s="201"/>
      <c r="V13" s="226">
        <f ca="1">IF(C13="",NA(),IF(OR(C13="Smelter not listed",C13="Smelter not yet identified"),MATCH($B13&amp;$D13,'Smelter Look-up'!$J:$J,0),MATCH($B13&amp;$C13,'Smelter Look-up'!$J:$J,0)))</f>
        <v>127</v>
      </c>
      <c r="X13" s="227">
        <f t="shared" ca="1" si="3"/>
        <v>0</v>
      </c>
      <c r="AB13" s="228" t="str">
        <f t="shared" ca="1" si="4"/>
        <v>GoldIshifuku Metal Industry Co., Ltd.</v>
      </c>
    </row>
    <row r="14" spans="1:34" s="227" customFormat="1" ht="20.25" customHeight="1">
      <c r="A14" s="262" t="s">
        <v>686</v>
      </c>
      <c r="B14" s="182" t="str">
        <f ca="1">IF(LEN(A14)=0,"",INDEX('Smelter Look-up'!$A:$A,MATCH($A14,'Smelter Look-up'!$E:$E,0)))</f>
        <v>Gold</v>
      </c>
      <c r="C14" s="186" t="str">
        <f ca="1">IF(LEN(A14)=0,"",INDEX('Smelter Look-up'!$C:$C,MATCH($A14,'Smelter Look-up'!$E:$E,0)))</f>
        <v>JX Nippon Mining &amp; Metals Co., Ltd.</v>
      </c>
      <c r="D14" s="230"/>
      <c r="E14" s="182" t="str">
        <f ca="1">IF(ISERROR($V14),"",OFFSET('Smelter Look-up'!$D$4,$V14-4,0)&amp;"")</f>
        <v>JAPAN</v>
      </c>
      <c r="F14" s="182" t="str">
        <f ca="1">IF(ISERROR($V14),"",OFFSET('Smelter Look-up'!$E$4,$V14-4,0))</f>
        <v>CID000937</v>
      </c>
      <c r="G14" s="182" t="str">
        <f ca="1">IF(C14=$X$4,IF(ISERROR($V14),"Enter smelter details","RMI"),IF(ISERROR($V14),"",OFFSET('Smelter Look-up'!$F$4,$V14-4,0)))</f>
        <v>RMI</v>
      </c>
      <c r="H14" s="183">
        <f ca="1">IF(ISERROR($V14),"",OFFSET('Smelter Look-up'!$G$4,$V14-4,0))</f>
        <v>0</v>
      </c>
      <c r="I14" s="184" t="str">
        <f ca="1">IF(ISERROR($V14),"",OFFSET('Smelter Look-up'!$H$4,$V14-4,0))</f>
        <v>Ōita</v>
      </c>
      <c r="J14" s="184" t="str">
        <f ca="1">IF(ISERROR($V14),"",OFFSET('Smelter Look-up'!$I$4,$V14-4,0))</f>
        <v>Ôita</v>
      </c>
      <c r="K14" s="224"/>
      <c r="L14" s="224"/>
      <c r="M14" s="224"/>
      <c r="N14" s="224"/>
      <c r="O14" s="224"/>
      <c r="P14" s="185"/>
      <c r="Q14" s="225"/>
      <c r="R14" s="182" t="str">
        <f ca="1">IF(ISERROR($V14),"",OFFSET('Smelter Look-up'!$C$4,$V14-4,0)&amp;"")</f>
        <v>JX Nippon Mining &amp; Metals Co., Ltd.</v>
      </c>
      <c r="S14" s="181" t="str">
        <f t="shared" ca="1" si="2"/>
        <v>JP</v>
      </c>
      <c r="T14" s="181" t="str">
        <f ca="1">IF(B14="","",IF(ISERROR(MATCH($J14,SorP!$B$1:$B$6226,0)),"",INDIRECT("'SorP'!$A$"&amp;MATCH($S14&amp;$J14,SorP!C:C,0))))</f>
        <v>JP-44</v>
      </c>
      <c r="U14" s="201"/>
      <c r="V14" s="226">
        <f ca="1">IF(C14="",NA(),IF(OR(C14="Smelter not listed",C14="Smelter not yet identified"),MATCH($B14&amp;$D14,'Smelter Look-up'!$J:$J,0),MATCH($B14&amp;$C14,'Smelter Look-up'!$J:$J,0)))</f>
        <v>141</v>
      </c>
      <c r="X14" s="227">
        <f t="shared" ca="1" si="3"/>
        <v>0</v>
      </c>
      <c r="AB14" s="228" t="str">
        <f t="shared" ca="1" si="4"/>
        <v>GoldJX Nippon Mining &amp; Metals Co., Ltd.</v>
      </c>
    </row>
    <row r="15" spans="1:34" s="227" customFormat="1" ht="20.25" customHeight="1">
      <c r="A15" s="262" t="s">
        <v>690</v>
      </c>
      <c r="B15" s="182" t="str">
        <f ca="1">IF(LEN(A15)=0,"",INDEX('Smelter Look-up'!$A:$A,MATCH($A15,'Smelter Look-up'!$E:$E,0)))</f>
        <v>Gold</v>
      </c>
      <c r="C15" s="186" t="str">
        <f ca="1">IF(LEN(A15)=0,"",INDEX('Smelter Look-up'!$C:$C,MATCH($A15,'Smelter Look-up'!$E:$E,0)))</f>
        <v>Kojima Chemicals Co., Ltd.</v>
      </c>
      <c r="D15" s="230"/>
      <c r="E15" s="182" t="str">
        <f ca="1">IF(ISERROR($V15),"",OFFSET('Smelter Look-up'!$D$4,$V15-4,0)&amp;"")</f>
        <v>JAPAN</v>
      </c>
      <c r="F15" s="182" t="str">
        <f ca="1">IF(ISERROR($V15),"",OFFSET('Smelter Look-up'!$E$4,$V15-4,0))</f>
        <v>CID000981</v>
      </c>
      <c r="G15" s="182" t="str">
        <f ca="1">IF(C15=$X$4,IF(ISERROR($V15),"Enter smelter details","RMI"),IF(ISERROR($V15),"",OFFSET('Smelter Look-up'!$F$4,$V15-4,0)))</f>
        <v>RMI</v>
      </c>
      <c r="H15" s="183">
        <f ca="1">IF(ISERROR($V15),"",OFFSET('Smelter Look-up'!$G$4,$V15-4,0))</f>
        <v>0</v>
      </c>
      <c r="I15" s="184" t="str">
        <f ca="1">IF(ISERROR($V15),"",OFFSET('Smelter Look-up'!$H$4,$V15-4,0))</f>
        <v>Sayama</v>
      </c>
      <c r="J15" s="184" t="str">
        <f ca="1">IF(ISERROR($V15),"",OFFSET('Smelter Look-up'!$I$4,$V15-4,0))</f>
        <v>Saitama</v>
      </c>
      <c r="K15" s="224"/>
      <c r="L15" s="224"/>
      <c r="M15" s="224"/>
      <c r="N15" s="224"/>
      <c r="O15" s="224"/>
      <c r="P15" s="185"/>
      <c r="Q15" s="225"/>
      <c r="R15" s="182" t="str">
        <f ca="1">IF(ISERROR($V15),"",OFFSET('Smelter Look-up'!$C$4,$V15-4,0)&amp;"")</f>
        <v>Kojima Chemicals Co., Ltd.</v>
      </c>
      <c r="S15" s="181" t="str">
        <f t="shared" ca="1" si="2"/>
        <v>JP</v>
      </c>
      <c r="T15" s="181" t="str">
        <f ca="1">IF(B15="","",IF(ISERROR(MATCH($J15,SorP!$B$1:$B$6226,0)),"",INDIRECT("'SorP'!$A$"&amp;MATCH($S15&amp;$J15,SorP!C:C,0))))</f>
        <v>JP-11</v>
      </c>
      <c r="U15" s="201"/>
      <c r="V15" s="226">
        <f ca="1">IF(C15="",NA(),IF(OR(C15="Smelter not listed",C15="Smelter not yet identified"),MATCH($B15&amp;$D15,'Smelter Look-up'!$J:$J,0),MATCH($B15&amp;$C15,'Smelter Look-up'!$J:$J,0)))</f>
        <v>151</v>
      </c>
      <c r="X15" s="227">
        <f t="shared" ca="1" si="3"/>
        <v>0</v>
      </c>
      <c r="AB15" s="228" t="str">
        <f t="shared" ca="1" si="4"/>
        <v>GoldKojima Chemicals Co., Ltd.</v>
      </c>
    </row>
    <row r="16" spans="1:34" s="227" customFormat="1" ht="20.25" customHeight="1">
      <c r="A16" s="262" t="s">
        <v>698</v>
      </c>
      <c r="B16" s="182" t="str">
        <f ca="1">IF(LEN(A16)=0,"",INDEX('Smelter Look-up'!$A:$A,MATCH($A16,'Smelter Look-up'!$E:$E,0)))</f>
        <v>Gold</v>
      </c>
      <c r="C16" s="186" t="str">
        <f ca="1">IF(LEN(A16)=0,"",INDEX('Smelter Look-up'!$C:$C,MATCH($A16,'Smelter Look-up'!$E:$E,0)))</f>
        <v>Matsuda Sangyo Co., Ltd.</v>
      </c>
      <c r="D16" s="230"/>
      <c r="E16" s="182" t="str">
        <f ca="1">IF(ISERROR($V16),"",OFFSET('Smelter Look-up'!$D$4,$V16-4,0)&amp;"")</f>
        <v>JAPAN</v>
      </c>
      <c r="F16" s="182" t="str">
        <f ca="1">IF(ISERROR($V16),"",OFFSET('Smelter Look-up'!$E$4,$V16-4,0))</f>
        <v>CID001119</v>
      </c>
      <c r="G16" s="182" t="str">
        <f ca="1">IF(C16=$X$4,IF(ISERROR($V16),"Enter smelter details","RMI"),IF(ISERROR($V16),"",OFFSET('Smelter Look-up'!$F$4,$V16-4,0)))</f>
        <v>RMI</v>
      </c>
      <c r="H16" s="183">
        <f ca="1">IF(ISERROR($V16),"",OFFSET('Smelter Look-up'!$G$4,$V16-4,0))</f>
        <v>0</v>
      </c>
      <c r="I16" s="184" t="str">
        <f ca="1">IF(ISERROR($V16),"",OFFSET('Smelter Look-up'!$H$4,$V16-4,0))</f>
        <v>Iruma</v>
      </c>
      <c r="J16" s="184" t="str">
        <f ca="1">IF(ISERROR($V16),"",OFFSET('Smelter Look-up'!$I$4,$V16-4,0))</f>
        <v>Saitama</v>
      </c>
      <c r="K16" s="224"/>
      <c r="L16" s="224"/>
      <c r="M16" s="224"/>
      <c r="N16" s="224"/>
      <c r="O16" s="224"/>
      <c r="P16" s="185"/>
      <c r="Q16" s="225"/>
      <c r="R16" s="182" t="str">
        <f ca="1">IF(ISERROR($V16),"",OFFSET('Smelter Look-up'!$C$4,$V16-4,0)&amp;"")</f>
        <v>Matsuda Sangyo Co., Ltd.</v>
      </c>
      <c r="S16" s="181" t="str">
        <f t="shared" ca="1" si="2"/>
        <v>JP</v>
      </c>
      <c r="T16" s="181" t="str">
        <f ca="1">IF(B16="","",IF(ISERROR(MATCH($J16,SorP!$B$1:$B$6226,0)),"",INDIRECT("'SorP'!$A$"&amp;MATCH($S16&amp;$J16,SorP!C:C,0))))</f>
        <v>JP-11</v>
      </c>
      <c r="U16" s="201"/>
      <c r="V16" s="226">
        <f ca="1">IF(C16="",NA(),IF(OR(C16="Smelter not listed",C16="Smelter not yet identified"),MATCH($B16&amp;$D16,'Smelter Look-up'!$J:$J,0),MATCH($B16&amp;$C16,'Smelter Look-up'!$J:$J,0)))</f>
        <v>175</v>
      </c>
      <c r="X16" s="227">
        <f t="shared" ca="1" si="3"/>
        <v>0</v>
      </c>
      <c r="AB16" s="228" t="str">
        <f t="shared" ca="1" si="4"/>
        <v>GoldMatsuda Sangyo Co., Ltd.</v>
      </c>
    </row>
    <row r="17" spans="1:28" s="227" customFormat="1" ht="20.25" customHeight="1">
      <c r="A17" s="262" t="s">
        <v>1612</v>
      </c>
      <c r="B17" s="182" t="str">
        <f ca="1">IF(LEN(A17)=0,"",INDEX('Smelter Look-up'!$A:$A,MATCH($A17,'Smelter Look-up'!$E:$E,0)))</f>
        <v>Gold</v>
      </c>
      <c r="C17" s="186" t="str">
        <f ca="1">IF(LEN(A17)=0,"",INDEX('Smelter Look-up'!$C:$C,MATCH($A17,'Smelter Look-up'!$E:$E,0)))</f>
        <v>Metalor Technologies (Suzhou) Ltd.</v>
      </c>
      <c r="D17" s="230"/>
      <c r="E17" s="182" t="str">
        <f ca="1">IF(ISERROR($V17),"",OFFSET('Smelter Look-up'!$D$4,$V17-4,0)&amp;"")</f>
        <v>CHINA</v>
      </c>
      <c r="F17" s="182" t="str">
        <f ca="1">IF(ISERROR($V17),"",OFFSET('Smelter Look-up'!$E$4,$V17-4,0))</f>
        <v>CID001147</v>
      </c>
      <c r="G17" s="182" t="str">
        <f ca="1">IF(C17=$X$4,IF(ISERROR($V17),"Enter smelter details","RMI"),IF(ISERROR($V17),"",OFFSET('Smelter Look-up'!$F$4,$V17-4,0)))</f>
        <v>RMI</v>
      </c>
      <c r="H17" s="183">
        <f ca="1">IF(ISERROR($V17),"",OFFSET('Smelter Look-up'!$G$4,$V17-4,0))</f>
        <v>0</v>
      </c>
      <c r="I17" s="184" t="str">
        <f ca="1">IF(ISERROR($V17),"",OFFSET('Smelter Look-up'!$H$4,$V17-4,0))</f>
        <v>Suzhou</v>
      </c>
      <c r="J17" s="184" t="str">
        <f ca="1">IF(ISERROR($V17),"",OFFSET('Smelter Look-up'!$I$4,$V17-4,0))</f>
        <v>Jiangsu Sheng</v>
      </c>
      <c r="K17" s="224"/>
      <c r="L17" s="224"/>
      <c r="M17" s="224"/>
      <c r="N17" s="224"/>
      <c r="O17" s="224"/>
      <c r="P17" s="185"/>
      <c r="Q17" s="225"/>
      <c r="R17" s="182" t="str">
        <f ca="1">IF(ISERROR($V17),"",OFFSET('Smelter Look-up'!$C$4,$V17-4,0)&amp;"")</f>
        <v>Metalor Technologies (Suzhou) Ltd.</v>
      </c>
      <c r="S17" s="181" t="str">
        <f t="shared" ca="1" si="2"/>
        <v>CN</v>
      </c>
      <c r="T17" s="181" t="str">
        <f ca="1">IF(B17="","",IF(ISERROR(MATCH($J17,SorP!$B$1:$B$6226,0)),"",INDIRECT("'SorP'!$A$"&amp;MATCH($S17&amp;$J17,SorP!C:C,0))))</f>
        <v>CN-JS</v>
      </c>
      <c r="U17" s="201"/>
      <c r="V17" s="226">
        <f ca="1">IF(C17="",NA(),IF(OR(C17="Smelter not listed",C17="Smelter not yet identified"),MATCH($B17&amp;$D17,'Smelter Look-up'!$J:$J,0),MATCH($B17&amp;$C17,'Smelter Look-up'!$J:$J,0)))</f>
        <v>185</v>
      </c>
      <c r="X17" s="227">
        <f t="shared" ca="1" si="3"/>
        <v>0</v>
      </c>
      <c r="AB17" s="228" t="str">
        <f t="shared" ca="1" si="4"/>
        <v>GoldMetalor Technologies (Suzhou) Ltd.</v>
      </c>
    </row>
    <row r="18" spans="1:28" s="227" customFormat="1" ht="20.25" customHeight="1">
      <c r="A18" s="181" t="s">
        <v>699</v>
      </c>
      <c r="B18" s="182" t="str">
        <f ca="1">IF(LEN(A18)=0,"",INDEX('Smelter Look-up'!$A:$A,MATCH($A18,'Smelter Look-up'!$E:$E,0)))</f>
        <v>Gold</v>
      </c>
      <c r="C18" s="186" t="str">
        <f ca="1">IF(LEN(A18)=0,"",INDEX('Smelter Look-up'!$C:$C,MATCH($A18,'Smelter Look-up'!$E:$E,0)))</f>
        <v>Metalor Technologies (Hong Kong) Ltd.</v>
      </c>
      <c r="D18" s="230"/>
      <c r="E18" s="182" t="str">
        <f ca="1">IF(ISERROR($V18),"",OFFSET('Smelter Look-up'!$D$4,$V18-4,0)&amp;"")</f>
        <v>CHINA</v>
      </c>
      <c r="F18" s="182" t="str">
        <f ca="1">IF(ISERROR($V18),"",OFFSET('Smelter Look-up'!$E$4,$V18-4,0))</f>
        <v>CID001149</v>
      </c>
      <c r="G18" s="182" t="str">
        <f ca="1">IF(C18=$X$4,IF(ISERROR($V18),"Enter smelter details","RMI"),IF(ISERROR($V18),"",OFFSET('Smelter Look-up'!$F$4,$V18-4,0)))</f>
        <v>RMI</v>
      </c>
      <c r="H18" s="183">
        <f ca="1">IF(ISERROR($V18),"",OFFSET('Smelter Look-up'!$G$4,$V18-4,0))</f>
        <v>0</v>
      </c>
      <c r="I18" s="184" t="str">
        <f ca="1">IF(ISERROR($V18),"",OFFSET('Smelter Look-up'!$H$4,$V18-4,0))</f>
        <v>Kwai Chung</v>
      </c>
      <c r="J18" s="184" t="str">
        <f ca="1">IF(ISERROR($V18),"",OFFSET('Smelter Look-up'!$I$4,$V18-4,0))</f>
        <v>Hong Kong SAR</v>
      </c>
      <c r="K18" s="224"/>
      <c r="L18" s="224"/>
      <c r="M18" s="224"/>
      <c r="N18" s="224"/>
      <c r="O18" s="224"/>
      <c r="P18" s="185"/>
      <c r="Q18" s="225"/>
      <c r="R18" s="182" t="str">
        <f ca="1">IF(ISERROR($V18),"",OFFSET('Smelter Look-up'!$C$4,$V18-4,0)&amp;"")</f>
        <v>Metalor Technologies (Hong Kong) Ltd.</v>
      </c>
      <c r="S18" s="181" t="str">
        <f t="shared" ca="1" si="2"/>
        <v>CN</v>
      </c>
      <c r="T18" s="181" t="str">
        <f ca="1">IF(B18="","",IF(ISERROR(MATCH($J18,SorP!$B$1:$B$6226,0)),"",INDIRECT("'SorP'!$A$"&amp;MATCH($S18&amp;$J18,SorP!C:C,0))))</f>
        <v>CN-HK</v>
      </c>
      <c r="U18" s="201"/>
      <c r="V18" s="226">
        <f ca="1">IF(C18="",NA(),IF(OR(C18="Smelter not listed",C18="Smelter not yet identified"),MATCH($B18&amp;$D18,'Smelter Look-up'!$J:$J,0),MATCH($B18&amp;$C18,'Smelter Look-up'!$J:$J,0)))</f>
        <v>183</v>
      </c>
      <c r="X18" s="227">
        <f t="shared" ca="1" si="3"/>
        <v>0</v>
      </c>
      <c r="AB18" s="228" t="str">
        <f t="shared" ca="1" si="4"/>
        <v>GoldMetalor Technologies (Hong Kong) Ltd.</v>
      </c>
    </row>
    <row r="19" spans="1:28" s="227" customFormat="1" ht="20.25" customHeight="1">
      <c r="A19" s="181" t="s">
        <v>700</v>
      </c>
      <c r="B19" s="182" t="str">
        <f ca="1">IF(LEN(A19)=0,"",INDEX('Smelter Look-up'!$A:$A,MATCH($A19,'Smelter Look-up'!$E:$E,0)))</f>
        <v>Gold</v>
      </c>
      <c r="C19" s="186" t="str">
        <f ca="1">IF(LEN(A19)=0,"",INDEX('Smelter Look-up'!$C:$C,MATCH($A19,'Smelter Look-up'!$E:$E,0)))</f>
        <v>Metalor Technologies (Singapore) Pte., Ltd.</v>
      </c>
      <c r="D19" s="230"/>
      <c r="E19" s="182" t="str">
        <f ca="1">IF(ISERROR($V19),"",OFFSET('Smelter Look-up'!$D$4,$V19-4,0)&amp;"")</f>
        <v>SINGAPORE</v>
      </c>
      <c r="F19" s="182" t="str">
        <f ca="1">IF(ISERROR($V19),"",OFFSET('Smelter Look-up'!$E$4,$V19-4,0))</f>
        <v>CID001152</v>
      </c>
      <c r="G19" s="182" t="str">
        <f ca="1">IF(C19=$X$4,IF(ISERROR($V19),"Enter smelter details","RMI"),IF(ISERROR($V19),"",OFFSET('Smelter Look-up'!$F$4,$V19-4,0)))</f>
        <v>RMI</v>
      </c>
      <c r="H19" s="183">
        <f ca="1">IF(ISERROR($V19),"",OFFSET('Smelter Look-up'!$G$4,$V19-4,0))</f>
        <v>0</v>
      </c>
      <c r="I19" s="184" t="str">
        <f ca="1">IF(ISERROR($V19),"",OFFSET('Smelter Look-up'!$H$4,$V19-4,0))</f>
        <v>Singapore</v>
      </c>
      <c r="J19" s="184" t="str">
        <f ca="1">IF(ISERROR($V19),"",OFFSET('Smelter Look-up'!$I$4,$V19-4,0))</f>
        <v>South West</v>
      </c>
      <c r="K19" s="224"/>
      <c r="L19" s="224"/>
      <c r="M19" s="224"/>
      <c r="N19" s="224"/>
      <c r="O19" s="224"/>
      <c r="P19" s="185"/>
      <c r="Q19" s="225"/>
      <c r="R19" s="182" t="str">
        <f ca="1">IF(ISERROR($V19),"",OFFSET('Smelter Look-up'!$C$4,$V19-4,0)&amp;"")</f>
        <v>Metalor Technologies (Singapore) Pte., Ltd.</v>
      </c>
      <c r="S19" s="181" t="str">
        <f t="shared" ca="1" si="2"/>
        <v>SG</v>
      </c>
      <c r="T19" s="181" t="str">
        <f ca="1">IF(B19="","",IF(ISERROR(MATCH($J19,SorP!$B$1:$B$6226,0)),"",INDIRECT("'SorP'!$A$"&amp;MATCH($S19&amp;$J19,SorP!C:C,0))))</f>
        <v>SG-05</v>
      </c>
      <c r="U19" s="201"/>
      <c r="V19" s="226">
        <f ca="1">IF(C19="",NA(),IF(OR(C19="Smelter not listed",C19="Smelter not yet identified"),MATCH($B19&amp;$D19,'Smelter Look-up'!$J:$J,0),MATCH($B19&amp;$C19,'Smelter Look-up'!$J:$J,0)))</f>
        <v>184</v>
      </c>
      <c r="X19" s="227">
        <f t="shared" ca="1" si="3"/>
        <v>0</v>
      </c>
      <c r="AB19" s="228" t="str">
        <f t="shared" ca="1" si="4"/>
        <v>GoldMetalor Technologies (Singapore) Pte., Ltd.</v>
      </c>
    </row>
    <row r="20" spans="1:28" s="227" customFormat="1" ht="20.25" customHeight="1">
      <c r="A20" s="181" t="s">
        <v>701</v>
      </c>
      <c r="B20" s="182" t="str">
        <f ca="1">IF(LEN(A20)=0,"",INDEX('Smelter Look-up'!$A:$A,MATCH($A20,'Smelter Look-up'!$E:$E,0)))</f>
        <v>Gold</v>
      </c>
      <c r="C20" s="186" t="str">
        <f ca="1">IF(LEN(A20)=0,"",INDEX('Smelter Look-up'!$C:$C,MATCH($A20,'Smelter Look-up'!$E:$E,0)))</f>
        <v>Metalor Technologies S.A.</v>
      </c>
      <c r="D20" s="230"/>
      <c r="E20" s="182" t="str">
        <f ca="1">IF(ISERROR($V20),"",OFFSET('Smelter Look-up'!$D$4,$V20-4,0)&amp;"")</f>
        <v>SWITZERLAND</v>
      </c>
      <c r="F20" s="182" t="str">
        <f ca="1">IF(ISERROR($V20),"",OFFSET('Smelter Look-up'!$E$4,$V20-4,0))</f>
        <v>CID001153</v>
      </c>
      <c r="G20" s="182" t="str">
        <f ca="1">IF(C20=$X$4,IF(ISERROR($V20),"Enter smelter details","RMI"),IF(ISERROR($V20),"",OFFSET('Smelter Look-up'!$F$4,$V20-4,0)))</f>
        <v>RMI</v>
      </c>
      <c r="H20" s="183">
        <f ca="1">IF(ISERROR($V20),"",OFFSET('Smelter Look-up'!$G$4,$V20-4,0))</f>
        <v>0</v>
      </c>
      <c r="I20" s="184" t="str">
        <f ca="1">IF(ISERROR($V20),"",OFFSET('Smelter Look-up'!$H$4,$V20-4,0))</f>
        <v>Marin</v>
      </c>
      <c r="J20" s="184" t="str">
        <f ca="1">IF(ISERROR($V20),"",OFFSET('Smelter Look-up'!$I$4,$V20-4,0))</f>
        <v>Neuchâtel</v>
      </c>
      <c r="K20" s="224"/>
      <c r="L20" s="224"/>
      <c r="M20" s="224"/>
      <c r="N20" s="224"/>
      <c r="O20" s="224"/>
      <c r="P20" s="185"/>
      <c r="Q20" s="225"/>
      <c r="R20" s="182" t="str">
        <f ca="1">IF(ISERROR($V20),"",OFFSET('Smelter Look-up'!$C$4,$V20-4,0)&amp;"")</f>
        <v>Metalor Technologies S.A.</v>
      </c>
      <c r="S20" s="181" t="str">
        <f t="shared" ca="1" si="2"/>
        <v>CH</v>
      </c>
      <c r="T20" s="181" t="str">
        <f ca="1">IF(B20="","",IF(ISERROR(MATCH($J20,SorP!$B$1:$B$6226,0)),"",INDIRECT("'SorP'!$A$"&amp;MATCH($S20&amp;$J20,SorP!C:C,0))))</f>
        <v>CH-NE</v>
      </c>
      <c r="U20" s="201"/>
      <c r="V20" s="226">
        <f ca="1">IF(C20="",NA(),IF(OR(C20="Smelter not listed",C20="Smelter not yet identified"),MATCH($B20&amp;$D20,'Smelter Look-up'!$J:$J,0),MATCH($B20&amp;$C20,'Smelter Look-up'!$J:$J,0)))</f>
        <v>186</v>
      </c>
      <c r="X20" s="227">
        <f t="shared" ca="1" si="3"/>
        <v>0</v>
      </c>
      <c r="AB20" s="228" t="str">
        <f t="shared" ca="1" si="4"/>
        <v>GoldMetalor Technologies S.A.</v>
      </c>
    </row>
    <row r="21" spans="1:28" s="227" customFormat="1" ht="20.25" customHeight="1">
      <c r="A21" s="181" t="s">
        <v>702</v>
      </c>
      <c r="B21" s="182" t="str">
        <f ca="1">IF(LEN(A21)=0,"",INDEX('Smelter Look-up'!$A:$A,MATCH($A21,'Smelter Look-up'!$E:$E,0)))</f>
        <v>Gold</v>
      </c>
      <c r="C21" s="186" t="str">
        <f ca="1">IF(LEN(A21)=0,"",INDEX('Smelter Look-up'!$C:$C,MATCH($A21,'Smelter Look-up'!$E:$E,0)))</f>
        <v>Metalor USA Refining Corporation</v>
      </c>
      <c r="D21" s="230"/>
      <c r="E21" s="182" t="str">
        <f ca="1">IF(ISERROR($V21),"",OFFSET('Smelter Look-up'!$D$4,$V21-4,0)&amp;"")</f>
        <v>UNITED STATES OF AMERICA</v>
      </c>
      <c r="F21" s="182" t="str">
        <f ca="1">IF(ISERROR($V21),"",OFFSET('Smelter Look-up'!$E$4,$V21-4,0))</f>
        <v>CID001157</v>
      </c>
      <c r="G21" s="182" t="str">
        <f ca="1">IF(C21=$X$4,IF(ISERROR($V21),"Enter smelter details","RMI"),IF(ISERROR($V21),"",OFFSET('Smelter Look-up'!$F$4,$V21-4,0)))</f>
        <v>RMI</v>
      </c>
      <c r="H21" s="183">
        <f ca="1">IF(ISERROR($V21),"",OFFSET('Smelter Look-up'!$G$4,$V21-4,0))</f>
        <v>0</v>
      </c>
      <c r="I21" s="184" t="str">
        <f ca="1">IF(ISERROR($V21),"",OFFSET('Smelter Look-up'!$H$4,$V21-4,0))</f>
        <v>North Attleboro</v>
      </c>
      <c r="J21" s="184" t="str">
        <f ca="1">IF(ISERROR($V21),"",OFFSET('Smelter Look-up'!$I$4,$V21-4,0))</f>
        <v>Massachusetts</v>
      </c>
      <c r="K21" s="224"/>
      <c r="L21" s="224"/>
      <c r="M21" s="224"/>
      <c r="N21" s="224"/>
      <c r="O21" s="224"/>
      <c r="P21" s="185"/>
      <c r="Q21" s="225"/>
      <c r="R21" s="182" t="str">
        <f ca="1">IF(ISERROR($V21),"",OFFSET('Smelter Look-up'!$C$4,$V21-4,0)&amp;"")</f>
        <v>Metalor USA Refining Corporation</v>
      </c>
      <c r="S21" s="181" t="str">
        <f t="shared" ca="1" si="2"/>
        <v>US</v>
      </c>
      <c r="T21" s="181" t="str">
        <f ca="1">IF(B21="","",IF(ISERROR(MATCH($J21,SorP!$B$1:$B$6226,0)),"",INDIRECT("'SorP'!$A$"&amp;MATCH($S21&amp;$J21,SorP!C:C,0))))</f>
        <v>US-MA</v>
      </c>
      <c r="U21" s="201"/>
      <c r="V21" s="226">
        <f ca="1">IF(C21="",NA(),IF(OR(C21="Smelter not listed",C21="Smelter not yet identified"),MATCH($B21&amp;$D21,'Smelter Look-up'!$J:$J,0),MATCH($B21&amp;$C21,'Smelter Look-up'!$J:$J,0)))</f>
        <v>187</v>
      </c>
      <c r="X21" s="227">
        <f t="shared" ca="1" si="3"/>
        <v>0</v>
      </c>
      <c r="AB21" s="228" t="str">
        <f t="shared" ca="1" si="4"/>
        <v>GoldMetalor USA Refining Corporation</v>
      </c>
    </row>
    <row r="22" spans="1:28" s="227" customFormat="1" ht="20.25" customHeight="1">
      <c r="A22" s="181" t="s">
        <v>704</v>
      </c>
      <c r="B22" s="182" t="str">
        <f ca="1">IF(LEN(A22)=0,"",INDEX('Smelter Look-up'!$A:$A,MATCH($A22,'Smelter Look-up'!$E:$E,0)))</f>
        <v>Gold</v>
      </c>
      <c r="C22" s="186" t="str">
        <f ca="1">IF(LEN(A22)=0,"",INDEX('Smelter Look-up'!$C:$C,MATCH($A22,'Smelter Look-up'!$E:$E,0)))</f>
        <v>Mitsubishi Materials Corporation</v>
      </c>
      <c r="D22" s="230"/>
      <c r="E22" s="182" t="str">
        <f ca="1">IF(ISERROR($V22),"",OFFSET('Smelter Look-up'!$D$4,$V22-4,0)&amp;"")</f>
        <v>JAPAN</v>
      </c>
      <c r="F22" s="182" t="str">
        <f ca="1">IF(ISERROR($V22),"",OFFSET('Smelter Look-up'!$E$4,$V22-4,0))</f>
        <v>CID001188</v>
      </c>
      <c r="G22" s="182" t="str">
        <f ca="1">IF(C22=$X$4,IF(ISERROR($V22),"Enter smelter details","RMI"),IF(ISERROR($V22),"",OFFSET('Smelter Look-up'!$F$4,$V22-4,0)))</f>
        <v>RMI</v>
      </c>
      <c r="H22" s="183">
        <f ca="1">IF(ISERROR($V22),"",OFFSET('Smelter Look-up'!$G$4,$V22-4,0))</f>
        <v>0</v>
      </c>
      <c r="I22" s="184" t="str">
        <f ca="1">IF(ISERROR($V22),"",OFFSET('Smelter Look-up'!$H$4,$V22-4,0))</f>
        <v>Tokyo</v>
      </c>
      <c r="J22" s="184" t="str">
        <f ca="1">IF(ISERROR($V22),"",OFFSET('Smelter Look-up'!$I$4,$V22-4,0))</f>
        <v>Tokyo</v>
      </c>
      <c r="K22" s="224"/>
      <c r="L22" s="224"/>
      <c r="M22" s="224"/>
      <c r="N22" s="224"/>
      <c r="O22" s="224"/>
      <c r="P22" s="185"/>
      <c r="Q22" s="225"/>
      <c r="R22" s="182" t="str">
        <f ca="1">IF(ISERROR($V22),"",OFFSET('Smelter Look-up'!$C$4,$V22-4,0)&amp;"")</f>
        <v>Mitsubishi Materials Corporation</v>
      </c>
      <c r="S22" s="181" t="str">
        <f t="shared" ca="1" si="2"/>
        <v>JP</v>
      </c>
      <c r="T22" s="181" t="str">
        <f ca="1">IF(B22="","",IF(ISERROR(MATCH($J22,SorP!$B$1:$B$6226,0)),"",INDIRECT("'SorP'!$A$"&amp;MATCH($S22&amp;$J22,SorP!C:C,0))))</f>
        <v>JP-13</v>
      </c>
      <c r="U22" s="201"/>
      <c r="V22" s="226">
        <f ca="1">IF(C22="",NA(),IF(OR(C22="Smelter not listed",C22="Smelter not yet identified"),MATCH($B22&amp;$D22,'Smelter Look-up'!$J:$J,0),MATCH($B22&amp;$C22,'Smelter Look-up'!$J:$J,0)))</f>
        <v>192</v>
      </c>
      <c r="X22" s="227">
        <f t="shared" ca="1" si="3"/>
        <v>0</v>
      </c>
      <c r="AB22" s="228" t="str">
        <f t="shared" ca="1" si="4"/>
        <v>GoldMitsubishi Materials Corporation</v>
      </c>
    </row>
    <row r="23" spans="1:28" s="227" customFormat="1" ht="20.25" customHeight="1">
      <c r="A23" s="181" t="s">
        <v>705</v>
      </c>
      <c r="B23" s="182" t="str">
        <f ca="1">IF(LEN(A23)=0,"",INDEX('Smelter Look-up'!$A:$A,MATCH($A23,'Smelter Look-up'!$E:$E,0)))</f>
        <v>Gold</v>
      </c>
      <c r="C23" s="186" t="str">
        <f ca="1">IF(LEN(A23)=0,"",INDEX('Smelter Look-up'!$C:$C,MATCH($A23,'Smelter Look-up'!$E:$E,0)))</f>
        <v>Mitsui Mining and Smelting Co., Ltd.</v>
      </c>
      <c r="D23" s="230"/>
      <c r="E23" s="182" t="str">
        <f ca="1">IF(ISERROR($V23),"",OFFSET('Smelter Look-up'!$D$4,$V23-4,0)&amp;"")</f>
        <v>JAPAN</v>
      </c>
      <c r="F23" s="182" t="str">
        <f ca="1">IF(ISERROR($V23),"",OFFSET('Smelter Look-up'!$E$4,$V23-4,0))</f>
        <v>CID001193</v>
      </c>
      <c r="G23" s="182" t="str">
        <f ca="1">IF(C23=$X$4,IF(ISERROR($V23),"Enter smelter details","RMI"),IF(ISERROR($V23),"",OFFSET('Smelter Look-up'!$F$4,$V23-4,0)))</f>
        <v>RMI</v>
      </c>
      <c r="H23" s="183">
        <f ca="1">IF(ISERROR($V23),"",OFFSET('Smelter Look-up'!$G$4,$V23-4,0))</f>
        <v>0</v>
      </c>
      <c r="I23" s="184" t="str">
        <f ca="1">IF(ISERROR($V23),"",OFFSET('Smelter Look-up'!$H$4,$V23-4,0))</f>
        <v>Takehara</v>
      </c>
      <c r="J23" s="184" t="str">
        <f ca="1">IF(ISERROR($V23),"",OFFSET('Smelter Look-up'!$I$4,$V23-4,0))</f>
        <v>Hiroshima</v>
      </c>
      <c r="K23" s="224"/>
      <c r="L23" s="224"/>
      <c r="M23" s="224"/>
      <c r="N23" s="224"/>
      <c r="O23" s="224"/>
      <c r="P23" s="185"/>
      <c r="Q23" s="225"/>
      <c r="R23" s="182" t="str">
        <f ca="1">IF(ISERROR($V23),"",OFFSET('Smelter Look-up'!$C$4,$V23-4,0)&amp;"")</f>
        <v>Mitsui Mining and Smelting Co., Ltd.</v>
      </c>
      <c r="S23" s="181" t="str">
        <f t="shared" ca="1" si="2"/>
        <v>JP</v>
      </c>
      <c r="T23" s="181" t="str">
        <f ca="1">IF(B23="","",IF(ISERROR(MATCH($J23,SorP!$B$1:$B$6226,0)),"",INDIRECT("'SorP'!$A$"&amp;MATCH($S23&amp;$J23,SorP!C:C,0))))</f>
        <v>JP-34</v>
      </c>
      <c r="U23" s="201"/>
      <c r="V23" s="226">
        <f ca="1">IF(C23="",NA(),IF(OR(C23="Smelter not listed",C23="Smelter not yet identified"),MATCH($B23&amp;$D23,'Smelter Look-up'!$J:$J,0),MATCH($B23&amp;$C23,'Smelter Look-up'!$J:$J,0)))</f>
        <v>194</v>
      </c>
      <c r="X23" s="227">
        <f t="shared" ca="1" si="3"/>
        <v>0</v>
      </c>
      <c r="AB23" s="228" t="str">
        <f t="shared" ca="1" si="4"/>
        <v>GoldMitsui Mining and Smelting Co., Ltd.</v>
      </c>
    </row>
    <row r="24" spans="1:28" s="227" customFormat="1" ht="20.25" customHeight="1">
      <c r="A24" s="181" t="s">
        <v>709</v>
      </c>
      <c r="B24" s="182" t="str">
        <f ca="1">IF(LEN(A24)=0,"",INDEX('Smelter Look-up'!$A:$A,MATCH($A24,'Smelter Look-up'!$E:$E,0)))</f>
        <v>Gold</v>
      </c>
      <c r="C24" s="186" t="str">
        <f ca="1">IF(LEN(A24)=0,"",INDEX('Smelter Look-up'!$C:$C,MATCH($A24,'Smelter Look-up'!$E:$E,0)))</f>
        <v>Nihon Material Co., Ltd.</v>
      </c>
      <c r="D24" s="230"/>
      <c r="E24" s="182" t="str">
        <f ca="1">IF(ISERROR($V24),"",OFFSET('Smelter Look-up'!$D$4,$V24-4,0)&amp;"")</f>
        <v>JAPAN</v>
      </c>
      <c r="F24" s="182" t="str">
        <f ca="1">IF(ISERROR($V24),"",OFFSET('Smelter Look-up'!$E$4,$V24-4,0))</f>
        <v>CID001259</v>
      </c>
      <c r="G24" s="182" t="str">
        <f ca="1">IF(C24=$X$4,IF(ISERROR($V24),"Enter smelter details","RMI"),IF(ISERROR($V24),"",OFFSET('Smelter Look-up'!$F$4,$V24-4,0)))</f>
        <v>RMI</v>
      </c>
      <c r="H24" s="183">
        <f ca="1">IF(ISERROR($V24),"",OFFSET('Smelter Look-up'!$G$4,$V24-4,0))</f>
        <v>0</v>
      </c>
      <c r="I24" s="184" t="str">
        <f ca="1">IF(ISERROR($V24),"",OFFSET('Smelter Look-up'!$H$4,$V24-4,0))</f>
        <v>Noda</v>
      </c>
      <c r="J24" s="184" t="str">
        <f ca="1">IF(ISERROR($V24),"",OFFSET('Smelter Look-up'!$I$4,$V24-4,0))</f>
        <v>Chiba</v>
      </c>
      <c r="K24" s="224"/>
      <c r="L24" s="224"/>
      <c r="M24" s="224"/>
      <c r="N24" s="224"/>
      <c r="O24" s="224"/>
      <c r="P24" s="185"/>
      <c r="Q24" s="225"/>
      <c r="R24" s="182" t="str">
        <f ca="1">IF(ISERROR($V24),"",OFFSET('Smelter Look-up'!$C$4,$V24-4,0)&amp;"")</f>
        <v>Nihon Material Co., Ltd.</v>
      </c>
      <c r="S24" s="181" t="str">
        <f t="shared" ca="1" si="2"/>
        <v>JP</v>
      </c>
      <c r="T24" s="181" t="str">
        <f ca="1">IF(B24="","",IF(ISERROR(MATCH($J24,SorP!$B$1:$B$6226,0)),"",INDIRECT("'SorP'!$A$"&amp;MATCH($S24&amp;$J24,SorP!C:C,0))))</f>
        <v>JP-12</v>
      </c>
      <c r="U24" s="201"/>
      <c r="V24" s="226">
        <f ca="1">IF(C24="",NA(),IF(OR(C24="Smelter not listed",C24="Smelter not yet identified"),MATCH($B24&amp;$D24,'Smelter Look-up'!$J:$J,0),MATCH($B24&amp;$C24,'Smelter Look-up'!$J:$J,0)))</f>
        <v>204</v>
      </c>
      <c r="X24" s="227">
        <f t="shared" ca="1" si="3"/>
        <v>0</v>
      </c>
      <c r="AB24" s="228" t="str">
        <f t="shared" ca="1" si="4"/>
        <v>GoldNihon Material Co., Ltd.</v>
      </c>
    </row>
    <row r="25" spans="1:28" s="227" customFormat="1" ht="20.25" customHeight="1">
      <c r="A25" s="181" t="s">
        <v>771</v>
      </c>
      <c r="B25" s="182" t="str">
        <f ca="1">IF(LEN(A25)=0,"",INDEX('Smelter Look-up'!$A:$A,MATCH($A25,'Smelter Look-up'!$E:$E,0)))</f>
        <v>Tin</v>
      </c>
      <c r="C25" s="186" t="str">
        <f ca="1">IF(LEN(A25)=0,"",INDEX('Smelter Look-up'!$C:$C,MATCH($A25,'Smelter Look-up'!$E:$E,0)))</f>
        <v>O.M. Manufacturing (Thailand) Co., Ltd.</v>
      </c>
      <c r="D25" s="230"/>
      <c r="E25" s="182" t="str">
        <f ca="1">IF(ISERROR($V25),"",OFFSET('Smelter Look-up'!$D$4,$V25-4,0)&amp;"")</f>
        <v>THAILAND</v>
      </c>
      <c r="F25" s="182" t="str">
        <f ca="1">IF(ISERROR($V25),"",OFFSET('Smelter Look-up'!$E$4,$V25-4,0))</f>
        <v>CID001314</v>
      </c>
      <c r="G25" s="182" t="str">
        <f ca="1">IF(C25=$X$4,IF(ISERROR($V25),"Enter smelter details","RMI"),IF(ISERROR($V25),"",OFFSET('Smelter Look-up'!$F$4,$V25-4,0)))</f>
        <v>RMI</v>
      </c>
      <c r="H25" s="183">
        <f ca="1">IF(ISERROR($V25),"",OFFSET('Smelter Look-up'!$G$4,$V25-4,0))</f>
        <v>0</v>
      </c>
      <c r="I25" s="184" t="str">
        <f ca="1">IF(ISERROR($V25),"",OFFSET('Smelter Look-up'!$H$4,$V25-4,0))</f>
        <v>Nongkham Sriracha</v>
      </c>
      <c r="J25" s="184" t="str">
        <f ca="1">IF(ISERROR($V25),"",OFFSET('Smelter Look-up'!$I$4,$V25-4,0))</f>
        <v>Chon Buri</v>
      </c>
      <c r="K25" s="224"/>
      <c r="L25" s="224"/>
      <c r="M25" s="224"/>
      <c r="N25" s="224"/>
      <c r="O25" s="224"/>
      <c r="P25" s="185"/>
      <c r="Q25" s="225"/>
      <c r="R25" s="182" t="str">
        <f ca="1">IF(ISERROR($V25),"",OFFSET('Smelter Look-up'!$C$4,$V25-4,0)&amp;"")</f>
        <v>O.M. Manufacturing (Thailand) Co., Ltd.</v>
      </c>
      <c r="S25" s="181" t="str">
        <f t="shared" ca="1" si="2"/>
        <v>TH</v>
      </c>
      <c r="T25" s="181" t="str">
        <f ca="1">IF(B25="","",IF(ISERROR(MATCH($J25,SorP!$B$1:$B$6226,0)),"",INDIRECT("'SorP'!$A$"&amp;MATCH($S25&amp;$J25,SorP!C:C,0))))</f>
        <v>TH-20</v>
      </c>
      <c r="U25" s="201"/>
      <c r="V25" s="226">
        <f ca="1">IF(C25="",NA(),IF(OR(C25="Smelter not listed",C25="Smelter not yet identified"),MATCH($B25&amp;$D25,'Smelter Look-up'!$J:$J,0),MATCH($B25&amp;$C25,'Smelter Look-up'!$J:$J,0)))</f>
        <v>496</v>
      </c>
      <c r="X25" s="227">
        <f t="shared" ca="1" si="3"/>
        <v>0</v>
      </c>
      <c r="AB25" s="228" t="str">
        <f t="shared" ca="1" si="4"/>
        <v>TinO.M. Manufacturing (Thailand) Co., Ltd.</v>
      </c>
    </row>
    <row r="26" spans="1:28" s="227" customFormat="1" ht="20.25" customHeight="1">
      <c r="A26" s="181" t="s">
        <v>772</v>
      </c>
      <c r="B26" s="182" t="str">
        <f ca="1">IF(LEN(A26)=0,"",INDEX('Smelter Look-up'!$A:$A,MATCH($A26,'Smelter Look-up'!$E:$E,0)))</f>
        <v>Tin</v>
      </c>
      <c r="C26" s="186" t="str">
        <f ca="1">IF(LEN(A26)=0,"",INDEX('Smelter Look-up'!$C:$C,MATCH($A26,'Smelter Look-up'!$E:$E,0)))</f>
        <v>Operaciones Metalurgicas S.A.</v>
      </c>
      <c r="D26" s="230"/>
      <c r="E26" s="182" t="str">
        <f ca="1">IF(ISERROR($V26),"",OFFSET('Smelter Look-up'!$D$4,$V26-4,0)&amp;"")</f>
        <v>BOLIVIA (PLURINATIONAL STATE OF)</v>
      </c>
      <c r="F26" s="182" t="str">
        <f ca="1">IF(ISERROR($V26),"",OFFSET('Smelter Look-up'!$E$4,$V26-4,0))</f>
        <v>CID001337</v>
      </c>
      <c r="G26" s="182" t="str">
        <f ca="1">IF(C26=$X$4,IF(ISERROR($V26),"Enter smelter details","RMI"),IF(ISERROR($V26),"",OFFSET('Smelter Look-up'!$F$4,$V26-4,0)))</f>
        <v>RMI</v>
      </c>
      <c r="H26" s="183">
        <f ca="1">IF(ISERROR($V26),"",OFFSET('Smelter Look-up'!$G$4,$V26-4,0))</f>
        <v>0</v>
      </c>
      <c r="I26" s="184" t="str">
        <f ca="1">IF(ISERROR($V26),"",OFFSET('Smelter Look-up'!$H$4,$V26-4,0))</f>
        <v>Oruro</v>
      </c>
      <c r="J26" s="184" t="str">
        <f ca="1">IF(ISERROR($V26),"",OFFSET('Smelter Look-up'!$I$4,$V26-4,0))</f>
        <v>Oruro</v>
      </c>
      <c r="K26" s="224"/>
      <c r="L26" s="224"/>
      <c r="M26" s="224"/>
      <c r="N26" s="224"/>
      <c r="O26" s="224"/>
      <c r="P26" s="185"/>
      <c r="Q26" s="225"/>
      <c r="R26" s="182" t="str">
        <f ca="1">IF(ISERROR($V26),"",OFFSET('Smelter Look-up'!$C$4,$V26-4,0)&amp;"")</f>
        <v>Operaciones Metalurgicas S.A.</v>
      </c>
      <c r="S26" s="181" t="str">
        <f t="shared" ca="1" si="2"/>
        <v>BO</v>
      </c>
      <c r="T26" s="181" t="str">
        <f ca="1">IF(B26="","",IF(ISERROR(MATCH($J26,SorP!$B$1:$B$6226,0)),"",INDIRECT("'SorP'!$A$"&amp;MATCH($S26&amp;$J26,SorP!C:C,0))))</f>
        <v>BO-O</v>
      </c>
      <c r="U26" s="201"/>
      <c r="V26" s="226">
        <f ca="1">IF(C26="",NA(),IF(OR(C26="Smelter not listed",C26="Smelter not yet identified"),MATCH($B26&amp;$D26,'Smelter Look-up'!$J:$J,0),MATCH($B26&amp;$C26,'Smelter Look-up'!$J:$J,0)))</f>
        <v>499</v>
      </c>
      <c r="X26" s="227">
        <f t="shared" ca="1" si="3"/>
        <v>0</v>
      </c>
      <c r="AB26" s="228" t="str">
        <f t="shared" ca="1" si="4"/>
        <v>TinOperaciones Metalurgicas S.A.</v>
      </c>
    </row>
    <row r="27" spans="1:28" s="227" customFormat="1" ht="20.25" customHeight="1">
      <c r="A27" s="181" t="s">
        <v>721</v>
      </c>
      <c r="B27" s="182" t="str">
        <f ca="1">IF(LEN(A27)=0,"",INDEX('Smelter Look-up'!$A:$A,MATCH($A27,'Smelter Look-up'!$E:$E,0)))</f>
        <v>Gold</v>
      </c>
      <c r="C27" s="186" t="str">
        <f ca="1">IF(LEN(A27)=0,"",INDEX('Smelter Look-up'!$C:$C,MATCH($A27,'Smelter Look-up'!$E:$E,0)))</f>
        <v>SEMPSA Joyeria Plateria S.A.</v>
      </c>
      <c r="D27" s="230"/>
      <c r="E27" s="182" t="str">
        <f ca="1">IF(ISERROR($V27),"",OFFSET('Smelter Look-up'!$D$4,$V27-4,0)&amp;"")</f>
        <v>SPAIN</v>
      </c>
      <c r="F27" s="182" t="str">
        <f ca="1">IF(ISERROR($V27),"",OFFSET('Smelter Look-up'!$E$4,$V27-4,0))</f>
        <v>CID001585</v>
      </c>
      <c r="G27" s="182" t="str">
        <f ca="1">IF(C27=$X$4,IF(ISERROR($V27),"Enter smelter details","RMI"),IF(ISERROR($V27),"",OFFSET('Smelter Look-up'!$F$4,$V27-4,0)))</f>
        <v>RMI</v>
      </c>
      <c r="H27" s="183">
        <f ca="1">IF(ISERROR($V27),"",OFFSET('Smelter Look-up'!$G$4,$V27-4,0))</f>
        <v>0</v>
      </c>
      <c r="I27" s="184" t="str">
        <f ca="1">IF(ISERROR($V27),"",OFFSET('Smelter Look-up'!$H$4,$V27-4,0))</f>
        <v>Madrid</v>
      </c>
      <c r="J27" s="184" t="str">
        <f ca="1">IF(ISERROR($V27),"",OFFSET('Smelter Look-up'!$I$4,$V27-4,0))</f>
        <v>Madrid, Comunidad de</v>
      </c>
      <c r="K27" s="224"/>
      <c r="L27" s="224"/>
      <c r="M27" s="224"/>
      <c r="N27" s="224"/>
      <c r="O27" s="224"/>
      <c r="P27" s="185"/>
      <c r="Q27" s="225"/>
      <c r="R27" s="182" t="str">
        <f ca="1">IF(ISERROR($V27),"",OFFSET('Smelter Look-up'!$C$4,$V27-4,0)&amp;"")</f>
        <v>SEMPSA Joyeria Plateria S.A.</v>
      </c>
      <c r="S27" s="181" t="str">
        <f t="shared" ca="1" si="2"/>
        <v>ES</v>
      </c>
      <c r="T27" s="181" t="str">
        <f ca="1">IF(B27="","",IF(ISERROR(MATCH($J27,SorP!$B$1:$B$6226,0)),"",INDIRECT("'SorP'!$A$"&amp;MATCH($S27&amp;$J27,SorP!C:C,0))))</f>
        <v>ES-MD</v>
      </c>
      <c r="U27" s="201"/>
      <c r="V27" s="226">
        <f ca="1">IF(C27="",NA(),IF(OR(C27="Smelter not listed",C27="Smelter not yet identified"),MATCH($B27&amp;$D27,'Smelter Look-up'!$J:$J,0),MATCH($B27&amp;$C27,'Smelter Look-up'!$J:$J,0)))</f>
        <v>244</v>
      </c>
      <c r="X27" s="227">
        <f t="shared" ca="1" si="3"/>
        <v>0</v>
      </c>
      <c r="AB27" s="228" t="str">
        <f t="shared" ca="1" si="4"/>
        <v>GoldSEMPSA Joyeria Plateria S.A.</v>
      </c>
    </row>
    <row r="28" spans="1:28" s="227" customFormat="1" ht="20.25" customHeight="1">
      <c r="A28" s="181" t="s">
        <v>725</v>
      </c>
      <c r="B28" s="182" t="str">
        <f ca="1">IF(LEN(A28)=0,"",INDEX('Smelter Look-up'!$A:$A,MATCH($A28,'Smelter Look-up'!$E:$E,0)))</f>
        <v>Gold</v>
      </c>
      <c r="C28" s="186" t="str">
        <f ca="1">IF(LEN(A28)=0,"",INDEX('Smelter Look-up'!$C:$C,MATCH($A28,'Smelter Look-up'!$E:$E,0)))</f>
        <v>Sumitomo Metal Mining Co., Ltd.</v>
      </c>
      <c r="D28" s="230"/>
      <c r="E28" s="182" t="str">
        <f ca="1">IF(ISERROR($V28),"",OFFSET('Smelter Look-up'!$D$4,$V28-4,0)&amp;"")</f>
        <v>JAPAN</v>
      </c>
      <c r="F28" s="182" t="str">
        <f ca="1">IF(ISERROR($V28),"",OFFSET('Smelter Look-up'!$E$4,$V28-4,0))</f>
        <v>CID001798</v>
      </c>
      <c r="G28" s="182" t="str">
        <f ca="1">IF(C28=$X$4,IF(ISERROR($V28),"Enter smelter details","RMI"),IF(ISERROR($V28),"",OFFSET('Smelter Look-up'!$F$4,$V28-4,0)))</f>
        <v>RMI</v>
      </c>
      <c r="H28" s="183">
        <f ca="1">IF(ISERROR($V28),"",OFFSET('Smelter Look-up'!$G$4,$V28-4,0))</f>
        <v>0</v>
      </c>
      <c r="I28" s="184" t="str">
        <f ca="1">IF(ISERROR($V28),"",OFFSET('Smelter Look-up'!$H$4,$V28-4,0))</f>
        <v>Saijo</v>
      </c>
      <c r="J28" s="184" t="str">
        <f ca="1">IF(ISERROR($V28),"",OFFSET('Smelter Look-up'!$I$4,$V28-4,0))</f>
        <v>Ehime</v>
      </c>
      <c r="K28" s="224"/>
      <c r="L28" s="224"/>
      <c r="M28" s="224"/>
      <c r="N28" s="224"/>
      <c r="O28" s="224"/>
      <c r="P28" s="185"/>
      <c r="Q28" s="225"/>
      <c r="R28" s="182" t="str">
        <f ca="1">IF(ISERROR($V28),"",OFFSET('Smelter Look-up'!$C$4,$V28-4,0)&amp;"")</f>
        <v>Sumitomo Metal Mining Co., Ltd.</v>
      </c>
      <c r="S28" s="181" t="str">
        <f t="shared" ca="1" si="2"/>
        <v>JP</v>
      </c>
      <c r="T28" s="181" t="str">
        <f ca="1">IF(B28="","",IF(ISERROR(MATCH($J28,SorP!$B$1:$B$6226,0)),"",INDIRECT("'SorP'!$A$"&amp;MATCH($S28&amp;$J28,SorP!C:C,0))))</f>
        <v>JP-38</v>
      </c>
      <c r="U28" s="201"/>
      <c r="V28" s="226">
        <f ca="1">IF(C28="",NA(),IF(OR(C28="Smelter not listed",C28="Smelter not yet identified"),MATCH($B28&amp;$D28,'Smelter Look-up'!$J:$J,0),MATCH($B28&amp;$C28,'Smelter Look-up'!$J:$J,0)))</f>
        <v>276</v>
      </c>
      <c r="X28" s="227">
        <f t="shared" ca="1" si="3"/>
        <v>0</v>
      </c>
      <c r="AB28" s="228" t="str">
        <f t="shared" ca="1" si="4"/>
        <v>GoldSumitomo Metal Mining Co., Ltd.</v>
      </c>
    </row>
    <row r="29" spans="1:28" s="227" customFormat="1" ht="20.25" customHeight="1">
      <c r="A29" s="181" t="s">
        <v>726</v>
      </c>
      <c r="B29" s="182" t="str">
        <f ca="1">IF(LEN(A29)=0,"",INDEX('Smelter Look-up'!$A:$A,MATCH($A29,'Smelter Look-up'!$E:$E,0)))</f>
        <v>Gold</v>
      </c>
      <c r="C29" s="186" t="str">
        <f ca="1">IF(LEN(A29)=0,"",INDEX('Smelter Look-up'!$C:$C,MATCH($A29,'Smelter Look-up'!$E:$E,0)))</f>
        <v>Tanaka Kikinzoku Kogyo K.K.</v>
      </c>
      <c r="D29" s="230"/>
      <c r="E29" s="182" t="str">
        <f ca="1">IF(ISERROR($V29),"",OFFSET('Smelter Look-up'!$D$4,$V29-4,0)&amp;"")</f>
        <v>JAPAN</v>
      </c>
      <c r="F29" s="182" t="str">
        <f ca="1">IF(ISERROR($V29),"",OFFSET('Smelter Look-up'!$E$4,$V29-4,0))</f>
        <v>CID001875</v>
      </c>
      <c r="G29" s="182" t="str">
        <f ca="1">IF(C29=$X$4,IF(ISERROR($V29),"Enter smelter details","RMI"),IF(ISERROR($V29),"",OFFSET('Smelter Look-up'!$F$4,$V29-4,0)))</f>
        <v>RMI</v>
      </c>
      <c r="H29" s="183">
        <f ca="1">IF(ISERROR($V29),"",OFFSET('Smelter Look-up'!$G$4,$V29-4,0))</f>
        <v>0</v>
      </c>
      <c r="I29" s="184" t="str">
        <f ca="1">IF(ISERROR($V29),"",OFFSET('Smelter Look-up'!$H$4,$V29-4,0))</f>
        <v>Hiratsuka</v>
      </c>
      <c r="J29" s="184" t="str">
        <f ca="1">IF(ISERROR($V29),"",OFFSET('Smelter Look-up'!$I$4,$V29-4,0))</f>
        <v>Kanagawa</v>
      </c>
      <c r="K29" s="224"/>
      <c r="L29" s="224"/>
      <c r="M29" s="224"/>
      <c r="N29" s="224"/>
      <c r="O29" s="224"/>
      <c r="P29" s="185"/>
      <c r="Q29" s="225"/>
      <c r="R29" s="182" t="str">
        <f ca="1">IF(ISERROR($V29),"",OFFSET('Smelter Look-up'!$C$4,$V29-4,0)&amp;"")</f>
        <v>Tanaka Kikinzoku Kogyo K.K.</v>
      </c>
      <c r="S29" s="181" t="str">
        <f t="shared" ca="1" si="2"/>
        <v>JP</v>
      </c>
      <c r="T29" s="181" t="str">
        <f ca="1">IF(B29="","",IF(ISERROR(MATCH($J29,SorP!$B$1:$B$6226,0)),"",INDIRECT("'SorP'!$A$"&amp;MATCH($S29&amp;$J29,SorP!C:C,0))))</f>
        <v>JP-14</v>
      </c>
      <c r="U29" s="201"/>
      <c r="V29" s="226">
        <f ca="1">IF(C29="",NA(),IF(OR(C29="Smelter not listed",C29="Smelter not yet identified"),MATCH($B29&amp;$D29,'Smelter Look-up'!$J:$J,0),MATCH($B29&amp;$C29,'Smelter Look-up'!$J:$J,0)))</f>
        <v>289</v>
      </c>
      <c r="X29" s="227">
        <f t="shared" ca="1" si="3"/>
        <v>0</v>
      </c>
      <c r="AB29" s="228" t="str">
        <f t="shared" ca="1" si="4"/>
        <v>GoldTanaka Kikinzoku Kogyo K.K.</v>
      </c>
    </row>
    <row r="30" spans="1:28" s="227" customFormat="1" ht="20.25" customHeight="1">
      <c r="A30" s="181" t="s">
        <v>779</v>
      </c>
      <c r="B30" s="182" t="str">
        <f ca="1">IF(LEN(A30)=0,"",INDEX('Smelter Look-up'!$A:$A,MATCH($A30,'Smelter Look-up'!$E:$E,0)))</f>
        <v>Tin</v>
      </c>
      <c r="C30" s="186" t="str">
        <f ca="1">IF(LEN(A30)=0,"",INDEX('Smelter Look-up'!$C:$C,MATCH($A30,'Smelter Look-up'!$E:$E,0)))</f>
        <v>Thaisarco</v>
      </c>
      <c r="D30" s="230"/>
      <c r="E30" s="182" t="str">
        <f ca="1">IF(ISERROR($V30),"",OFFSET('Smelter Look-up'!$D$4,$V30-4,0)&amp;"")</f>
        <v>THAILAND</v>
      </c>
      <c r="F30" s="182" t="str">
        <f ca="1">IF(ISERROR($V30),"",OFFSET('Smelter Look-up'!$E$4,$V30-4,0))</f>
        <v>CID001898</v>
      </c>
      <c r="G30" s="182" t="str">
        <f ca="1">IF(C30=$X$4,IF(ISERROR($V30),"Enter smelter details","RMI"),IF(ISERROR($V30),"",OFFSET('Smelter Look-up'!$F$4,$V30-4,0)))</f>
        <v>RMI</v>
      </c>
      <c r="H30" s="183">
        <f ca="1">IF(ISERROR($V30),"",OFFSET('Smelter Look-up'!$G$4,$V30-4,0))</f>
        <v>0</v>
      </c>
      <c r="I30" s="184" t="str">
        <f ca="1">IF(ISERROR($V30),"",OFFSET('Smelter Look-up'!$H$4,$V30-4,0))</f>
        <v>Amphur Muang</v>
      </c>
      <c r="J30" s="184" t="str">
        <f ca="1">IF(ISERROR($V30),"",OFFSET('Smelter Look-up'!$I$4,$V30-4,0))</f>
        <v>Phuket</v>
      </c>
      <c r="K30" s="224"/>
      <c r="L30" s="224"/>
      <c r="M30" s="224"/>
      <c r="N30" s="224"/>
      <c r="O30" s="224"/>
      <c r="P30" s="185"/>
      <c r="Q30" s="225"/>
      <c r="R30" s="182" t="str">
        <f ca="1">IF(ISERROR($V30),"",OFFSET('Smelter Look-up'!$C$4,$V30-4,0)&amp;"")</f>
        <v>Thaisarco</v>
      </c>
      <c r="S30" s="181" t="str">
        <f t="shared" ca="1" si="2"/>
        <v>TH</v>
      </c>
      <c r="T30" s="181" t="str">
        <f ca="1">IF(B30="","",IF(ISERROR(MATCH($J30,SorP!$B$1:$B$6226,0)),"",INDIRECT("'SorP'!$A$"&amp;MATCH($S30&amp;$J30,SorP!C:C,0))))</f>
        <v>TH-83</v>
      </c>
      <c r="U30" s="201"/>
      <c r="V30" s="226">
        <f ca="1">IF(C30="",NA(),IF(OR(C30="Smelter not listed",C30="Smelter not yet identified"),MATCH($B30&amp;$D30,'Smelter Look-up'!$J:$J,0),MATCH($B30&amp;$C30,'Smelter Look-up'!$J:$J,0)))</f>
        <v>547</v>
      </c>
      <c r="X30" s="227">
        <f t="shared" ca="1" si="3"/>
        <v>0</v>
      </c>
      <c r="AB30" s="228" t="str">
        <f t="shared" ca="1" si="4"/>
        <v>TinThaisarco</v>
      </c>
    </row>
    <row r="31" spans="1:28" s="227" customFormat="1" ht="20.25" customHeight="1">
      <c r="A31" s="181" t="s">
        <v>729</v>
      </c>
      <c r="B31" s="182" t="str">
        <f ca="1">IF(LEN(A31)=0,"",INDEX('Smelter Look-up'!$A:$A,MATCH($A31,'Smelter Look-up'!$E:$E,0)))</f>
        <v>Gold</v>
      </c>
      <c r="C31" s="186" t="str">
        <f ca="1">IF(LEN(A31)=0,"",INDEX('Smelter Look-up'!$C:$C,MATCH($A31,'Smelter Look-up'!$E:$E,0)))</f>
        <v>Tokuriki Honten Co., Ltd.</v>
      </c>
      <c r="D31" s="230"/>
      <c r="E31" s="182" t="str">
        <f ca="1">IF(ISERROR($V31),"",OFFSET('Smelter Look-up'!$D$4,$V31-4,0)&amp;"")</f>
        <v>JAPAN</v>
      </c>
      <c r="F31" s="182" t="str">
        <f ca="1">IF(ISERROR($V31),"",OFFSET('Smelter Look-up'!$E$4,$V31-4,0))</f>
        <v>CID001938</v>
      </c>
      <c r="G31" s="182" t="str">
        <f ca="1">IF(C31=$X$4,IF(ISERROR($V31),"Enter smelter details","RMI"),IF(ISERROR($V31),"",OFFSET('Smelter Look-up'!$F$4,$V31-4,0)))</f>
        <v>RMI</v>
      </c>
      <c r="H31" s="183">
        <f ca="1">IF(ISERROR($V31),"",OFFSET('Smelter Look-up'!$G$4,$V31-4,0))</f>
        <v>0</v>
      </c>
      <c r="I31" s="184" t="str">
        <f ca="1">IF(ISERROR($V31),"",OFFSET('Smelter Look-up'!$H$4,$V31-4,0))</f>
        <v>Kuki</v>
      </c>
      <c r="J31" s="184" t="str">
        <f ca="1">IF(ISERROR($V31),"",OFFSET('Smelter Look-up'!$I$4,$V31-4,0))</f>
        <v>Saitama</v>
      </c>
      <c r="K31" s="224"/>
      <c r="L31" s="224"/>
      <c r="M31" s="224"/>
      <c r="N31" s="224"/>
      <c r="O31" s="224"/>
      <c r="P31" s="185"/>
      <c r="Q31" s="225"/>
      <c r="R31" s="182" t="str">
        <f ca="1">IF(ISERROR($V31),"",OFFSET('Smelter Look-up'!$C$4,$V31-4,0)&amp;"")</f>
        <v>Tokuriki Honten Co., Ltd.</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294</v>
      </c>
      <c r="X31" s="227">
        <f t="shared" ca="1" si="3"/>
        <v>0</v>
      </c>
      <c r="AB31" s="228" t="str">
        <f t="shared" ca="1" si="4"/>
        <v>GoldTokuriki Honten Co., Ltd.</v>
      </c>
    </row>
    <row r="32" spans="1:28" s="227" customFormat="1" ht="20.25" customHeight="1">
      <c r="A32" s="181" t="s">
        <v>732</v>
      </c>
      <c r="B32" s="182" t="str">
        <f ca="1">IF(LEN(A32)=0,"",INDEX('Smelter Look-up'!$A:$A,MATCH($A32,'Smelter Look-up'!$E:$E,0)))</f>
        <v>Gold</v>
      </c>
      <c r="C32" s="186" t="str">
        <f ca="1">IF(LEN(A32)=0,"",INDEX('Smelter Look-up'!$C:$C,MATCH($A32,'Smelter Look-up'!$E:$E,0)))</f>
        <v>Umicore S.A. Business Unit Precious Metals Refining</v>
      </c>
      <c r="D32" s="230"/>
      <c r="E32" s="182" t="str">
        <f ca="1">IF(ISERROR($V32),"",OFFSET('Smelter Look-up'!$D$4,$V32-4,0)&amp;"")</f>
        <v>BELGIUM</v>
      </c>
      <c r="F32" s="182" t="str">
        <f ca="1">IF(ISERROR($V32),"",OFFSET('Smelter Look-up'!$E$4,$V32-4,0))</f>
        <v>CID001980</v>
      </c>
      <c r="G32" s="182" t="str">
        <f ca="1">IF(C32=$X$4,IF(ISERROR($V32),"Enter smelter details","RMI"),IF(ISERROR($V32),"",OFFSET('Smelter Look-up'!$F$4,$V32-4,0)))</f>
        <v>RMI</v>
      </c>
      <c r="H32" s="183">
        <f ca="1">IF(ISERROR($V32),"",OFFSET('Smelter Look-up'!$G$4,$V32-4,0))</f>
        <v>0</v>
      </c>
      <c r="I32" s="184" t="str">
        <f ca="1">IF(ISERROR($V32),"",OFFSET('Smelter Look-up'!$H$4,$V32-4,0))</f>
        <v>Hoboken</v>
      </c>
      <c r="J32" s="184" t="str">
        <f ca="1">IF(ISERROR($V32),"",OFFSET('Smelter Look-up'!$I$4,$V32-4,0))</f>
        <v>Antwerpen</v>
      </c>
      <c r="K32" s="224"/>
      <c r="L32" s="224"/>
      <c r="M32" s="224"/>
      <c r="N32" s="224"/>
      <c r="O32" s="224"/>
      <c r="P32" s="185"/>
      <c r="Q32" s="225"/>
      <c r="R32" s="182" t="str">
        <f ca="1">IF(ISERROR($V32),"",OFFSET('Smelter Look-up'!$C$4,$V32-4,0)&amp;"")</f>
        <v>Umicore S.A. Business Unit Precious Metals Refining</v>
      </c>
      <c r="S32" s="181" t="str">
        <f t="shared" ca="1" si="2"/>
        <v>BE</v>
      </c>
      <c r="T32" s="181" t="str">
        <f ca="1">IF(B32="","",IF(ISERROR(MATCH($J32,SorP!$B$1:$B$6226,0)),"",INDIRECT("'SorP'!$A$"&amp;MATCH($S32&amp;$J32,SorP!C:C,0))))</f>
        <v>BE-VAN</v>
      </c>
      <c r="U32" s="201"/>
      <c r="V32" s="226">
        <f ca="1">IF(C32="",NA(),IF(OR(C32="Smelter not listed",C32="Smelter not yet identified"),MATCH($B32&amp;$D32,'Smelter Look-up'!$J:$J,0),MATCH($B32&amp;$C32,'Smelter Look-up'!$J:$J,0)))</f>
        <v>303</v>
      </c>
      <c r="X32" s="227">
        <f t="shared" ca="1" si="3"/>
        <v>0</v>
      </c>
      <c r="AB32" s="228" t="str">
        <f t="shared" ca="1" si="4"/>
        <v>GoldUmicore S.A. Business Unit Precious Metals Refining</v>
      </c>
    </row>
    <row r="33" spans="1:28" s="227" customFormat="1" ht="20.25" customHeight="1">
      <c r="A33" s="181" t="s">
        <v>781</v>
      </c>
      <c r="B33" s="182" t="str">
        <f ca="1">IF(LEN(A33)=0,"",INDEX('Smelter Look-up'!$A:$A,MATCH($A33,'Smelter Look-up'!$E:$E,0)))</f>
        <v>Tin</v>
      </c>
      <c r="C33" s="186" t="str">
        <f ca="1">IF(LEN(A33)=0,"",INDEX('Smelter Look-up'!$C:$C,MATCH($A33,'Smelter Look-up'!$E:$E,0)))</f>
        <v>Yunnan Chengfeng Non-ferrous Metals Co., Ltd.</v>
      </c>
      <c r="D33" s="230"/>
      <c r="E33" s="182" t="str">
        <f ca="1">IF(ISERROR($V33),"",OFFSET('Smelter Look-up'!$D$4,$V33-4,0)&amp;"")</f>
        <v>CHINA</v>
      </c>
      <c r="F33" s="182" t="str">
        <f ca="1">IF(ISERROR($V33),"",OFFSET('Smelter Look-up'!$E$4,$V33-4,0))</f>
        <v>CID002158</v>
      </c>
      <c r="G33" s="182" t="str">
        <f ca="1">IF(C33=$X$4,IF(ISERROR($V33),"Enter smelter details","RMI"),IF(ISERROR($V33),"",OFFSET('Smelter Look-up'!$F$4,$V33-4,0)))</f>
        <v>RMI</v>
      </c>
      <c r="H33" s="183">
        <f ca="1">IF(ISERROR($V33),"",OFFSET('Smelter Look-up'!$G$4,$V33-4,0))</f>
        <v>0</v>
      </c>
      <c r="I33" s="184" t="str">
        <f ca="1">IF(ISERROR($V33),"",OFFSET('Smelter Look-up'!$H$4,$V33-4,0))</f>
        <v>Gejiu</v>
      </c>
      <c r="J33" s="184" t="str">
        <f ca="1">IF(ISERROR($V33),"",OFFSET('Smelter Look-up'!$I$4,$V33-4,0))</f>
        <v>Yunnan Sheng</v>
      </c>
      <c r="K33" s="224"/>
      <c r="L33" s="224"/>
      <c r="M33" s="224"/>
      <c r="N33" s="224"/>
      <c r="O33" s="224"/>
      <c r="P33" s="185"/>
      <c r="Q33" s="225"/>
      <c r="R33" s="182" t="str">
        <f ca="1">IF(ISERROR($V33),"",OFFSET('Smelter Look-up'!$C$4,$V33-4,0)&amp;"")</f>
        <v>Yunnan Chengfeng Non-ferrous Metals Co., Ltd.</v>
      </c>
      <c r="S33" s="181" t="str">
        <f t="shared" ca="1" si="2"/>
        <v>CN</v>
      </c>
      <c r="T33" s="181" t="str">
        <f ca="1">IF(B33="","",IF(ISERROR(MATCH($J33,SorP!$B$1:$B$6226,0)),"",INDIRECT("'SorP'!$A$"&amp;MATCH($S33&amp;$J33,SorP!C:C,0))))</f>
        <v>CN-YN</v>
      </c>
      <c r="U33" s="201"/>
      <c r="V33" s="226">
        <f ca="1">IF(C33="",NA(),IF(OR(C33="Smelter not listed",C33="Smelter not yet identified"),MATCH($B33&amp;$D33,'Smelter Look-up'!$J:$J,0),MATCH($B33&amp;$C33,'Smelter Look-up'!$J:$J,0)))</f>
        <v>565</v>
      </c>
      <c r="X33" s="227">
        <f t="shared" ca="1" si="3"/>
        <v>0</v>
      </c>
      <c r="AB33" s="228" t="str">
        <f t="shared" ca="1" si="4"/>
        <v>TinYunnan Chengfeng Non-ferrous Metals Co., Ltd.</v>
      </c>
    </row>
    <row r="34" spans="1:28" s="227" customFormat="1" ht="20.25" customHeight="1">
      <c r="A34" s="181" t="s">
        <v>782</v>
      </c>
      <c r="B34" s="182" t="str">
        <f ca="1">IF(LEN(A34)=0,"",INDEX('Smelter Look-up'!$A:$A,MATCH($A34,'Smelter Look-up'!$E:$E,0)))</f>
        <v>Tin</v>
      </c>
      <c r="C34" s="186" t="str">
        <f ca="1">IF(LEN(A34)=0,"",INDEX('Smelter Look-up'!$C:$C,MATCH($A34,'Smelter Look-up'!$E:$E,0)))</f>
        <v>Tin Smelting Branch of Yunnan Tin Co., Ltd.</v>
      </c>
      <c r="D34" s="230"/>
      <c r="E34" s="182" t="str">
        <f ca="1">IF(ISERROR($V34),"",OFFSET('Smelter Look-up'!$D$4,$V34-4,0)&amp;"")</f>
        <v>CHINA</v>
      </c>
      <c r="F34" s="182" t="str">
        <f ca="1">IF(ISERROR($V34),"",OFFSET('Smelter Look-up'!$E$4,$V34-4,0))</f>
        <v>CID002180</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Tin Smelting Branch of Yunnan Tin Co., Ltd.</v>
      </c>
      <c r="S34" s="181" t="str">
        <f t="shared" ca="1" si="2"/>
        <v>CN</v>
      </c>
      <c r="T34" s="181" t="str">
        <f ca="1">IF(B34="","",IF(ISERROR(MATCH($J34,SorP!$B$1:$B$6226,0)),"",INDIRECT("'SorP'!$A$"&amp;MATCH($S34&amp;$J34,SorP!C:C,0))))</f>
        <v>CN-YN</v>
      </c>
      <c r="U34" s="201"/>
      <c r="V34" s="226">
        <f ca="1">IF(C34="",NA(),IF(OR(C34="Smelter not listed",C34="Smelter not yet identified"),MATCH($B34&amp;$D34,'Smelter Look-up'!$J:$J,0),MATCH($B34&amp;$C34,'Smelter Look-up'!$J:$J,0)))</f>
        <v>550</v>
      </c>
      <c r="X34" s="227">
        <f t="shared" ca="1" si="3"/>
        <v>0</v>
      </c>
      <c r="AB34" s="228" t="str">
        <f t="shared" ca="1" si="4"/>
        <v>TinTin Smelting Branch of Yunnan Tin Co., Ltd.</v>
      </c>
    </row>
    <row r="35" spans="1:28" s="227" customFormat="1" ht="20.25" customHeight="1">
      <c r="A35" s="181" t="s">
        <v>140</v>
      </c>
      <c r="B35" s="182" t="str">
        <f ca="1">IF(LEN(A35)=0,"",INDEX('Smelter Look-up'!$A:$A,MATCH($A35,'Smelter Look-up'!$E:$E,0)))</f>
        <v>Tungsten</v>
      </c>
      <c r="C35" s="186" t="str">
        <f ca="1">IF(LEN(A35)=0,"",INDEX('Smelter Look-up'!$C:$C,MATCH($A35,'Smelter Look-up'!$E:$E,0)))</f>
        <v>Jiangxi Tonggu Non-ferrous Metallurgical &amp; Chemical Co., Ltd.</v>
      </c>
      <c r="D35" s="230"/>
      <c r="E35" s="182" t="str">
        <f ca="1">IF(ISERROR($V35),"",OFFSET('Smelter Look-up'!$D$4,$V35-4,0)&amp;"")</f>
        <v>CHINA</v>
      </c>
      <c r="F35" s="182" t="str">
        <f ca="1">IF(ISERROR($V35),"",OFFSET('Smelter Look-up'!$E$4,$V35-4,0))</f>
        <v>CID002318</v>
      </c>
      <c r="G35" s="182" t="str">
        <f ca="1">IF(C35=$X$4,IF(ISERROR($V35),"Enter smelter details","RMI"),IF(ISERROR($V35),"",OFFSET('Smelter Look-up'!$F$4,$V35-4,0)))</f>
        <v>RMI</v>
      </c>
      <c r="H35" s="183">
        <f ca="1">IF(ISERROR($V35),"",OFFSET('Smelter Look-up'!$G$4,$V35-4,0))</f>
        <v>0</v>
      </c>
      <c r="I35" s="184" t="str">
        <f ca="1">IF(ISERROR($V35),"",OFFSET('Smelter Look-up'!$H$4,$V35-4,0))</f>
        <v>Tonggu</v>
      </c>
      <c r="J35" s="184" t="str">
        <f ca="1">IF(ISERROR($V35),"",OFFSET('Smelter Look-up'!$I$4,$V35-4,0))</f>
        <v>Jiangxi Sheng</v>
      </c>
      <c r="K35" s="224"/>
      <c r="L35" s="224"/>
      <c r="M35" s="224"/>
      <c r="N35" s="224"/>
      <c r="O35" s="224"/>
      <c r="P35" s="185"/>
      <c r="Q35" s="225"/>
      <c r="R35" s="182" t="str">
        <f ca="1">IF(ISERROR($V35),"",OFFSET('Smelter Look-up'!$C$4,$V35-4,0)&amp;"")</f>
        <v>Jiangxi Tonggu Non-ferrous Metallurgical &amp; Chemical Co., Ltd.</v>
      </c>
      <c r="S35" s="181" t="str">
        <f t="shared" ca="1" si="2"/>
        <v>CN</v>
      </c>
      <c r="T35" s="181" t="str">
        <f ca="1">IF(B35="","",IF(ISERROR(MATCH($J35,SorP!$B$1:$B$6226,0)),"",INDIRECT("'SorP'!$A$"&amp;MATCH($S35&amp;$J35,SorP!C:C,0))))</f>
        <v>CN-JX</v>
      </c>
      <c r="U35" s="201"/>
      <c r="V35" s="226">
        <f ca="1">IF(C35="",NA(),IF(OR(C35="Smelter not listed",C35="Smelter not yet identified"),MATCH($B35&amp;$D35,'Smelter Look-up'!$J:$J,0),MATCH($B35&amp;$C35,'Smelter Look-up'!$J:$J,0)))</f>
        <v>623</v>
      </c>
      <c r="X35" s="227">
        <f t="shared" ca="1" si="3"/>
        <v>0</v>
      </c>
      <c r="AB35" s="228" t="str">
        <f t="shared" ca="1" si="4"/>
        <v>TungstenJiangxi Tonggu Non-ferrous Metallurgical &amp; Chemical Co., Ltd.</v>
      </c>
    </row>
    <row r="36" spans="1:28" s="227" customFormat="1" ht="20.25" customHeight="1">
      <c r="A36" s="181" t="s">
        <v>1418</v>
      </c>
      <c r="B36" s="182" t="str">
        <f ca="1">IF(LEN(A36)=0,"",INDEX('Smelter Look-up'!$A:$A,MATCH($A36,'Smelter Look-up'!$E:$E,0)))</f>
        <v>Tungsten</v>
      </c>
      <c r="C36" s="186" t="str">
        <f ca="1">IF(LEN(A36)=0,"",INDEX('Smelter Look-up'!$C:$C,MATCH($A36,'Smelter Look-up'!$E:$E,0)))</f>
        <v>Masan High-Tech Materials</v>
      </c>
      <c r="D36" s="230"/>
      <c r="E36" s="182" t="str">
        <f ca="1">IF(ISERROR($V36),"",OFFSET('Smelter Look-up'!$D$4,$V36-4,0)&amp;"")</f>
        <v>VIET NAM</v>
      </c>
      <c r="F36" s="182" t="str">
        <f ca="1">IF(ISERROR($V36),"",OFFSET('Smelter Look-up'!$E$4,$V36-4,0))</f>
        <v>CID002543</v>
      </c>
      <c r="G36" s="182" t="str">
        <f ca="1">IF(C36=$X$4,IF(ISERROR($V36),"Enter smelter details","RMI"),IF(ISERROR($V36),"",OFFSET('Smelter Look-up'!$F$4,$V36-4,0)))</f>
        <v>RMI</v>
      </c>
      <c r="H36" s="183">
        <f ca="1">IF(ISERROR($V36),"",OFFSET('Smelter Look-up'!$G$4,$V36-4,0))</f>
        <v>0</v>
      </c>
      <c r="I36" s="184" t="str">
        <f ca="1">IF(ISERROR($V36),"",OFFSET('Smelter Look-up'!$H$4,$V36-4,0))</f>
        <v>Dai Tu</v>
      </c>
      <c r="J36" s="184" t="str">
        <f ca="1">IF(ISERROR($V36),"",OFFSET('Smelter Look-up'!$I$4,$V36-4,0))</f>
        <v>Thái Nguyên</v>
      </c>
      <c r="K36" s="224"/>
      <c r="L36" s="224"/>
      <c r="M36" s="224"/>
      <c r="N36" s="224"/>
      <c r="O36" s="224"/>
      <c r="P36" s="185"/>
      <c r="Q36" s="225"/>
      <c r="R36" s="182" t="str">
        <f ca="1">IF(ISERROR($V36),"",OFFSET('Smelter Look-up'!$C$4,$V36-4,0)&amp;"")</f>
        <v>Masan High-Tech Materials</v>
      </c>
      <c r="S36" s="181" t="str">
        <f t="shared" ca="1" si="2"/>
        <v>VN</v>
      </c>
      <c r="T36" s="181" t="str">
        <f ca="1">IF(B36="","",IF(ISERROR(MATCH($J36,SorP!$B$1:$B$6226,0)),"",INDIRECT("'SorP'!$A$"&amp;MATCH($S36&amp;$J36,SorP!C:C,0))))</f>
        <v>VN-69</v>
      </c>
      <c r="U36" s="201"/>
      <c r="V36" s="226">
        <f ca="1">IF(C36="",NA(),IF(OR(C36="Smelter not listed",C36="Smelter not yet identified"),MATCH($B36&amp;$D36,'Smelter Look-up'!$J:$J,0),MATCH($B36&amp;$C36,'Smelter Look-up'!$J:$J,0)))</f>
        <v>636</v>
      </c>
      <c r="X36" s="227">
        <f t="shared" ca="1" si="3"/>
        <v>0</v>
      </c>
      <c r="AB36" s="228" t="str">
        <f t="shared" ca="1" si="4"/>
        <v>TungstenMasan High-Tech Materials</v>
      </c>
    </row>
    <row r="37" spans="1:28" s="227" customFormat="1" ht="20.25" customHeight="1">
      <c r="A37" s="181" t="s">
        <v>1417</v>
      </c>
      <c r="B37" s="182" t="str">
        <f ca="1">IF(LEN(A37)=0,"",INDEX('Smelter Look-up'!$A:$A,MATCH($A37,'Smelter Look-up'!$E:$E,0)))</f>
        <v>Tungsten</v>
      </c>
      <c r="C37" s="186" t="str">
        <f ca="1">IF(LEN(A37)=0,"",INDEX('Smelter Look-up'!$C:$C,MATCH($A37,'Smelter Look-up'!$E:$E,0)))</f>
        <v>Jiangwu H.C. Starck Tungsten Products Co., Ltd.</v>
      </c>
      <c r="D37" s="230"/>
      <c r="E37" s="182" t="str">
        <f ca="1">IF(ISERROR($V37),"",OFFSET('Smelter Look-up'!$D$4,$V37-4,0)&amp;"")</f>
        <v>CHINA</v>
      </c>
      <c r="F37" s="182" t="str">
        <f ca="1">IF(ISERROR($V37),"",OFFSET('Smelter Look-up'!$E$4,$V37-4,0))</f>
        <v>CID002551</v>
      </c>
      <c r="G37" s="182" t="str">
        <f ca="1">IF(C37=$X$4,IF(ISERROR($V37),"Enter smelter details","RMI"),IF(ISERROR($V37),"",OFFSET('Smelter Look-up'!$F$4,$V37-4,0)))</f>
        <v>RMI</v>
      </c>
      <c r="H37" s="183">
        <f ca="1">IF(ISERROR($V37),"",OFFSET('Smelter Look-up'!$G$4,$V37-4,0))</f>
        <v>0</v>
      </c>
      <c r="I37" s="184" t="str">
        <f ca="1">IF(ISERROR($V37),"",OFFSET('Smelter Look-up'!$H$4,$V37-4,0))</f>
        <v>Ganzhou</v>
      </c>
      <c r="J37" s="184" t="str">
        <f ca="1">IF(ISERROR($V37),"",OFFSET('Smelter Look-up'!$I$4,$V37-4,0))</f>
        <v>Jiangxi Sheng</v>
      </c>
      <c r="K37" s="224"/>
      <c r="L37" s="224"/>
      <c r="M37" s="224"/>
      <c r="N37" s="224"/>
      <c r="O37" s="224"/>
      <c r="P37" s="185"/>
      <c r="Q37" s="225"/>
      <c r="R37" s="182" t="str">
        <f ca="1">IF(ISERROR($V37),"",OFFSET('Smelter Look-up'!$C$4,$V37-4,0)&amp;"")</f>
        <v>Jiangwu H.C. Starck Tungsten Products Co., Ltd.</v>
      </c>
      <c r="S37" s="181" t="str">
        <f t="shared" ca="1" si="2"/>
        <v>CN</v>
      </c>
      <c r="T37" s="181" t="str">
        <f ca="1">IF(B37="","",IF(ISERROR(MATCH($J37,SorP!$B$1:$B$6226,0)),"",INDIRECT("'SorP'!$A$"&amp;MATCH($S37&amp;$J37,SorP!C:C,0))))</f>
        <v>CN-JX</v>
      </c>
      <c r="U37" s="201"/>
      <c r="V37" s="226">
        <f ca="1">IF(C37="",NA(),IF(OR(C37="Smelter not listed",C37="Smelter not yet identified"),MATCH($B37&amp;$D37,'Smelter Look-up'!$J:$J,0),MATCH($B37&amp;$C37,'Smelter Look-up'!$J:$J,0)))</f>
        <v>620</v>
      </c>
      <c r="X37" s="227">
        <f t="shared" ca="1" si="3"/>
        <v>0</v>
      </c>
      <c r="AB37" s="228" t="str">
        <f t="shared" ca="1" si="4"/>
        <v>TungstenJiangwu H.C. Starck Tungsten Products Co., Ltd.</v>
      </c>
    </row>
    <row r="38" spans="1:28" s="227" customFormat="1" ht="20.25" customHeight="1">
      <c r="A38" s="181" t="s">
        <v>1801</v>
      </c>
      <c r="B38" s="182" t="str">
        <f ca="1">IF(LEN(A38)=0,"",INDEX('Smelter Look-up'!$A:$A,MATCH($A38,'Smelter Look-up'!$E:$E,0)))</f>
        <v>Tin</v>
      </c>
      <c r="C38" s="186" t="str">
        <f ca="1">IF(LEN(A38)=0,"",INDEX('Smelter Look-up'!$C:$C,MATCH($A38,'Smelter Look-up'!$E:$E,0)))</f>
        <v>Aurubis Beerse</v>
      </c>
      <c r="D38" s="230"/>
      <c r="E38" s="182" t="str">
        <f ca="1">IF(ISERROR($V38),"",OFFSET('Smelter Look-up'!$D$4,$V38-4,0)&amp;"")</f>
        <v>BELGIUM</v>
      </c>
      <c r="F38" s="182" t="str">
        <f ca="1">IF(ISERROR($V38),"",OFFSET('Smelter Look-up'!$E$4,$V38-4,0))</f>
        <v>CID002773</v>
      </c>
      <c r="G38" s="182" t="str">
        <f ca="1">IF(C38=$X$4,IF(ISERROR($V38),"Enter smelter details","RMI"),IF(ISERROR($V38),"",OFFSET('Smelter Look-up'!$F$4,$V38-4,0)))</f>
        <v>RMI</v>
      </c>
      <c r="H38" s="183">
        <f ca="1">IF(ISERROR($V38),"",OFFSET('Smelter Look-up'!$G$4,$V38-4,0))</f>
        <v>0</v>
      </c>
      <c r="I38" s="184" t="str">
        <f ca="1">IF(ISERROR($V38),"",OFFSET('Smelter Look-up'!$H$4,$V38-4,0))</f>
        <v>Beerse</v>
      </c>
      <c r="J38" s="184" t="str">
        <f ca="1">IF(ISERROR($V38),"",OFFSET('Smelter Look-up'!$I$4,$V38-4,0))</f>
        <v>Antwerpen</v>
      </c>
      <c r="K38" s="224"/>
      <c r="L38" s="224"/>
      <c r="M38" s="224"/>
      <c r="N38" s="224"/>
      <c r="O38" s="224"/>
      <c r="P38" s="185"/>
      <c r="Q38" s="225"/>
      <c r="R38" s="182" t="str">
        <f ca="1">IF(ISERROR($V38),"",OFFSET('Smelter Look-up'!$C$4,$V38-4,0)&amp;"")</f>
        <v>Aurubis Beerse</v>
      </c>
      <c r="S38" s="181" t="str">
        <f t="shared" ref="S38:S68" ca="1" si="5">IF(B38="","",IF(ISERROR(MATCH($E38,CL,0)),"Unknown",INDIRECT("'C'!$A$"&amp;MATCH($E38,CL,0)+1)))</f>
        <v>BE</v>
      </c>
      <c r="T38" s="181" t="str">
        <f ca="1">IF(B38="","",IF(ISERROR(MATCH($J38,SorP!$B$1:$B$6226,0)),"",INDIRECT("'SorP'!$A$"&amp;MATCH($S38&amp;$J38,SorP!C:C,0))))</f>
        <v>BE-VAN</v>
      </c>
      <c r="U38" s="201"/>
      <c r="V38" s="226">
        <f ca="1">IF(C38="",NA(),IF(OR(C38="Smelter not listed",C38="Smelter not yet identified"),MATCH($B38&amp;$D38,'Smelter Look-up'!$J:$J,0),MATCH($B38&amp;$C38,'Smelter Look-up'!$J:$J,0)))</f>
        <v>405</v>
      </c>
      <c r="X38" s="227">
        <f t="shared" ref="X38:X68" ca="1" si="6">IF(AND(C38="Smelter not listed",OR(LEN(D38)=0,LEN(E38)=0)),1,0)</f>
        <v>0</v>
      </c>
      <c r="AB38" s="228" t="str">
        <f t="shared" ref="AB38:AB68" ca="1" si="7">B38&amp;C38</f>
        <v>TinAurubis Beerse</v>
      </c>
    </row>
    <row r="39" spans="1:28" s="227" customFormat="1" ht="20.25" customHeight="1">
      <c r="A39" s="181" t="s">
        <v>1803</v>
      </c>
      <c r="B39" s="182" t="str">
        <f ca="1">IF(LEN(A39)=0,"",INDEX('Smelter Look-up'!$A:$A,MATCH($A39,'Smelter Look-up'!$E:$E,0)))</f>
        <v>Tin</v>
      </c>
      <c r="C39" s="186" t="str">
        <f ca="1">IF(LEN(A39)=0,"",INDEX('Smelter Look-up'!$C:$C,MATCH($A39,'Smelter Look-up'!$E:$E,0)))</f>
        <v>Aurubis Berango</v>
      </c>
      <c r="D39" s="230"/>
      <c r="E39" s="182" t="str">
        <f ca="1">IF(ISERROR($V39),"",OFFSET('Smelter Look-up'!$D$4,$V39-4,0)&amp;"")</f>
        <v>SPAIN</v>
      </c>
      <c r="F39" s="182" t="str">
        <f ca="1">IF(ISERROR($V39),"",OFFSET('Smelter Look-up'!$E$4,$V39-4,0))</f>
        <v>CID002774</v>
      </c>
      <c r="G39" s="182" t="str">
        <f ca="1">IF(C39=$X$4,IF(ISERROR($V39),"Enter smelter details","RMI"),IF(ISERROR($V39),"",OFFSET('Smelter Look-up'!$F$4,$V39-4,0)))</f>
        <v>RMI</v>
      </c>
      <c r="H39" s="183">
        <f ca="1">IF(ISERROR($V39),"",OFFSET('Smelter Look-up'!$G$4,$V39-4,0))</f>
        <v>0</v>
      </c>
      <c r="I39" s="184" t="str">
        <f ca="1">IF(ISERROR($V39),"",OFFSET('Smelter Look-up'!$H$4,$V39-4,0))</f>
        <v>Berango</v>
      </c>
      <c r="J39" s="184" t="str">
        <f ca="1">IF(ISERROR($V39),"",OFFSET('Smelter Look-up'!$I$4,$V39-4,0))</f>
        <v>Bizkaia</v>
      </c>
      <c r="K39" s="224"/>
      <c r="L39" s="224"/>
      <c r="M39" s="224"/>
      <c r="N39" s="224"/>
      <c r="O39" s="224"/>
      <c r="P39" s="185"/>
      <c r="Q39" s="225"/>
      <c r="R39" s="182" t="str">
        <f ca="1">IF(ISERROR($V39),"",OFFSET('Smelter Look-up'!$C$4,$V39-4,0)&amp;"")</f>
        <v>Aurubis Berango</v>
      </c>
      <c r="S39" s="181" t="str">
        <f t="shared" ca="1" si="5"/>
        <v>ES</v>
      </c>
      <c r="T39" s="181" t="str">
        <f ca="1">IF(B39="","",IF(ISERROR(MATCH($J39,SorP!$B$1:$B$6226,0)),"",INDIRECT("'SorP'!$A$"&amp;MATCH($S39&amp;$J39,SorP!C:C,0))))</f>
        <v>ES-BI</v>
      </c>
      <c r="U39" s="201"/>
      <c r="V39" s="226">
        <f ca="1">IF(C39="",NA(),IF(OR(C39="Smelter not listed",C39="Smelter not yet identified"),MATCH($B39&amp;$D39,'Smelter Look-up'!$J:$J,0),MATCH($B39&amp;$C39,'Smelter Look-up'!$J:$J,0)))</f>
        <v>406</v>
      </c>
      <c r="X39" s="227">
        <f t="shared" ca="1" si="6"/>
        <v>0</v>
      </c>
      <c r="AB39" s="228" t="str">
        <f t="shared" ca="1" si="7"/>
        <v>TinAurubis Berango</v>
      </c>
    </row>
    <row r="40" spans="1:28" s="227" customFormat="1" ht="20.25" customHeight="1">
      <c r="A40" s="181" t="s">
        <v>2188</v>
      </c>
      <c r="B40" s="182" t="str">
        <f ca="1">IF(LEN(A40)=0,"",INDEX('Smelter Look-up'!$A:$A,MATCH($A40,'Smelter Look-up'!$E:$E,0)))</f>
        <v>Gold</v>
      </c>
      <c r="C40" s="186" t="str">
        <f ca="1">IF(LEN(A40)=0,"",INDEX('Smelter Look-up'!$C:$C,MATCH($A40,'Smelter Look-up'!$E:$E,0)))</f>
        <v>WIELAND Edelmetalle GmbH</v>
      </c>
      <c r="D40" s="230"/>
      <c r="E40" s="182" t="str">
        <f ca="1">IF(ISERROR($V40),"",OFFSET('Smelter Look-up'!$D$4,$V40-4,0)&amp;"")</f>
        <v>GERMANY</v>
      </c>
      <c r="F40" s="182" t="str">
        <f ca="1">IF(ISERROR($V40),"",OFFSET('Smelter Look-up'!$E$4,$V40-4,0))</f>
        <v>CID002778</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WIELAND Edelmetalle GmbH</v>
      </c>
      <c r="S40" s="181" t="str">
        <f t="shared" ca="1" si="5"/>
        <v>DE</v>
      </c>
      <c r="T40" s="181" t="str">
        <f ca="1">IF(B40="","",IF(ISERROR(MATCH($J40,SorP!$B$1:$B$6226,0)),"",INDIRECT("'SorP'!$A$"&amp;MATCH($S40&amp;$J40,SorP!C:C,0))))</f>
        <v>DE-BW</v>
      </c>
      <c r="U40" s="201"/>
      <c r="V40" s="226">
        <f ca="1">IF(C40="",NA(),IF(OR(C40="Smelter not listed",C40="Smelter not yet identified"),MATCH($B40&amp;$D40,'Smelter Look-up'!$J:$J,0),MATCH($B40&amp;$C40,'Smelter Look-up'!$J:$J,0)))</f>
        <v>308</v>
      </c>
      <c r="X40" s="227">
        <f t="shared" ca="1" si="6"/>
        <v>0</v>
      </c>
      <c r="AB40" s="228" t="str">
        <f t="shared" ca="1" si="7"/>
        <v>GoldWIELAND Edelmetalle GmbH</v>
      </c>
    </row>
    <row r="41" spans="1:28" s="227" customFormat="1" ht="20.25" customHeight="1">
      <c r="A41" s="181" t="s">
        <v>2512</v>
      </c>
      <c r="B41" s="182" t="str">
        <f ca="1">IF(LEN(A41)=0,"",INDEX('Smelter Look-up'!$A:$A,MATCH($A41,'Smelter Look-up'!$E:$E,0)))</f>
        <v>Tin</v>
      </c>
      <c r="C41" s="186" t="str">
        <f ca="1">IF(LEN(A41)=0,"",INDEX('Smelter Look-up'!$C:$C,MATCH($A41,'Smelter Look-up'!$E:$E,0)))</f>
        <v>Guangdong Hanhe Non-Ferrous Metal Co., Ltd.</v>
      </c>
      <c r="D41" s="230"/>
      <c r="E41" s="182" t="str">
        <f ca="1">IF(ISERROR($V41),"",OFFSET('Smelter Look-up'!$D$4,$V41-4,0)&amp;"")</f>
        <v>CHINA</v>
      </c>
      <c r="F41" s="182" t="str">
        <f ca="1">IF(ISERROR($V41),"",OFFSET('Smelter Look-up'!$E$4,$V41-4,0))</f>
        <v>CID003116</v>
      </c>
      <c r="G41" s="182" t="str">
        <f ca="1">IF(C41=$X$4,IF(ISERROR($V41),"Enter smelter details","RMI"),IF(ISERROR($V41),"",OFFSET('Smelter Look-up'!$F$4,$V41-4,0)))</f>
        <v>RMI</v>
      </c>
      <c r="H41" s="183">
        <f ca="1">IF(ISERROR($V41),"",OFFSET('Smelter Look-up'!$G$4,$V41-4,0))</f>
        <v>0</v>
      </c>
      <c r="I41" s="184" t="str">
        <f ca="1">IF(ISERROR($V41),"",OFFSET('Smelter Look-up'!$H$4,$V41-4,0))</f>
        <v>Chaozhou</v>
      </c>
      <c r="J41" s="184" t="str">
        <f ca="1">IF(ISERROR($V41),"",OFFSET('Smelter Look-up'!$I$4,$V41-4,0))</f>
        <v>Guangdong Sheng</v>
      </c>
      <c r="K41" s="224"/>
      <c r="L41" s="224"/>
      <c r="M41" s="224"/>
      <c r="N41" s="224"/>
      <c r="O41" s="224"/>
      <c r="P41" s="185"/>
      <c r="Q41" s="225"/>
      <c r="R41" s="182" t="str">
        <f ca="1">IF(ISERROR($V41),"",OFFSET('Smelter Look-up'!$C$4,$V41-4,0)&amp;"")</f>
        <v>Guangdong Hanhe Non-Ferrous Metal Co., Ltd.</v>
      </c>
      <c r="S41" s="181" t="str">
        <f t="shared" ca="1" si="5"/>
        <v>CN</v>
      </c>
      <c r="T41" s="181" t="str">
        <f ca="1">IF(B41="","",IF(ISERROR(MATCH($J41,SorP!$B$1:$B$6226,0)),"",INDIRECT("'SorP'!$A$"&amp;MATCH($S41&amp;$J41,SorP!C:C,0))))</f>
        <v>CN-GD</v>
      </c>
      <c r="U41" s="201"/>
      <c r="V41" s="226">
        <f ca="1">IF(C41="",NA(),IF(OR(C41="Smelter not listed",C41="Smelter not yet identified"),MATCH($B41&amp;$D41,'Smelter Look-up'!$J:$J,0),MATCH($B41&amp;$C41,'Smelter Look-up'!$J:$J,0)))</f>
        <v>455</v>
      </c>
      <c r="X41" s="227">
        <f t="shared" ca="1" si="6"/>
        <v>0</v>
      </c>
      <c r="AB41" s="228" t="str">
        <f t="shared" ca="1" si="7"/>
        <v>TinGuangdong Hanhe Non-Ferrous Metal Co., Ltd.</v>
      </c>
    </row>
    <row r="42" spans="1:28" s="227" customFormat="1" ht="20.25" customHeight="1">
      <c r="A42" s="181" t="s">
        <v>12908</v>
      </c>
      <c r="B42" s="182" t="str">
        <f ca="1">IF(LEN(A42)=0,"",INDEX('Smelter Look-up'!$A:$A,MATCH($A42,'Smelter Look-up'!$E:$E,0)))</f>
        <v>Tin</v>
      </c>
      <c r="C42" s="186" t="str">
        <f ca="1">IF(LEN(A42)=0,"",INDEX('Smelter Look-up'!$C:$C,MATCH($A42,'Smelter Look-up'!$E:$E,0)))</f>
        <v>Chifeng Dajingzi Tin Industry Co., Ltd.</v>
      </c>
      <c r="D42" s="230"/>
      <c r="E42" s="182" t="str">
        <f ca="1">IF(ISERROR($V42),"",OFFSET('Smelter Look-up'!$D$4,$V42-4,0)&amp;"")</f>
        <v>CHINA</v>
      </c>
      <c r="F42" s="182" t="str">
        <f ca="1">IF(ISERROR($V42),"",OFFSET('Smelter Look-up'!$E$4,$V42-4,0))</f>
        <v>CID003190</v>
      </c>
      <c r="G42" s="182" t="str">
        <f ca="1">IF(C42=$X$4,IF(ISERROR($V42),"Enter smelter details","RMI"),IF(ISERROR($V42),"",OFFSET('Smelter Look-up'!$F$4,$V42-4,0)))</f>
        <v>RMI</v>
      </c>
      <c r="H42" s="183">
        <f ca="1">IF(ISERROR($V42),"",OFFSET('Smelter Look-up'!$G$4,$V42-4,0))</f>
        <v>0</v>
      </c>
      <c r="I42" s="184" t="str">
        <f ca="1">IF(ISERROR($V42),"",OFFSET('Smelter Look-up'!$H$4,$V42-4,0))</f>
        <v>Chifeng</v>
      </c>
      <c r="J42" s="184" t="str">
        <f ca="1">IF(ISERROR($V42),"",OFFSET('Smelter Look-up'!$I$4,$V42-4,0))</f>
        <v>Nei Mongol Zizhiqu</v>
      </c>
      <c r="K42" s="224"/>
      <c r="L42" s="224"/>
      <c r="M42" s="224"/>
      <c r="N42" s="224"/>
      <c r="O42" s="224"/>
      <c r="P42" s="185"/>
      <c r="Q42" s="225"/>
      <c r="R42" s="182" t="str">
        <f ca="1">IF(ISERROR($V42),"",OFFSET('Smelter Look-up'!$C$4,$V42-4,0)&amp;"")</f>
        <v>Chifeng Dajingzi Tin Industry Co., Ltd.</v>
      </c>
      <c r="S42" s="181" t="str">
        <f t="shared" ca="1" si="5"/>
        <v>CN</v>
      </c>
      <c r="T42" s="181" t="str">
        <f ca="1">IF(B42="","",IF(ISERROR(MATCH($J42,SorP!$B$1:$B$6226,0)),"",INDIRECT("'SorP'!$A$"&amp;MATCH($S42&amp;$J42,SorP!C:C,0))))</f>
        <v>CN-NM</v>
      </c>
      <c r="U42" s="201"/>
      <c r="V42" s="226">
        <f ca="1">IF(C42="",NA(),IF(OR(C42="Smelter not listed",C42="Smelter not yet identified"),MATCH($B42&amp;$D42,'Smelter Look-up'!$J:$J,0),MATCH($B42&amp;$C42,'Smelter Look-up'!$J:$J,0)))</f>
        <v>412</v>
      </c>
      <c r="X42" s="227">
        <f t="shared" ca="1" si="6"/>
        <v>0</v>
      </c>
      <c r="AB42" s="228" t="str">
        <f t="shared" ca="1" si="7"/>
        <v>TinChifeng Dajingzi Tin Industry Co., Ltd.</v>
      </c>
    </row>
    <row r="43" spans="1:28" s="227" customFormat="1" ht="20.25" customHeight="1">
      <c r="A43" s="181" t="s">
        <v>13161</v>
      </c>
      <c r="B43" s="182" t="str">
        <f ca="1">IF(LEN(A43)=0,"",INDEX('Smelter Look-up'!$A:$A,MATCH($A43,'Smelter Look-up'!$E:$E,0)))</f>
        <v>Tin</v>
      </c>
      <c r="C43" s="186" t="str">
        <f ca="1">IF(LEN(A43)=0,"",INDEX('Smelter Look-up'!$C:$C,MATCH($A43,'Smelter Look-up'!$E:$E,0)))</f>
        <v>Tin Technology &amp; Refining</v>
      </c>
      <c r="D43" s="230"/>
      <c r="E43" s="182" t="str">
        <f ca="1">IF(ISERROR($V43),"",OFFSET('Smelter Look-up'!$D$4,$V43-4,0)&amp;"")</f>
        <v>UNITED STATES OF AMERICA</v>
      </c>
      <c r="F43" s="182" t="str">
        <f ca="1">IF(ISERROR($V43),"",OFFSET('Smelter Look-up'!$E$4,$V43-4,0))</f>
        <v>CID003325</v>
      </c>
      <c r="G43" s="182" t="str">
        <f ca="1">IF(C43=$X$4,IF(ISERROR($V43),"Enter smelter details","RMI"),IF(ISERROR($V43),"",OFFSET('Smelter Look-up'!$F$4,$V43-4,0)))</f>
        <v>RMI</v>
      </c>
      <c r="H43" s="183">
        <f ca="1">IF(ISERROR($V43),"",OFFSET('Smelter Look-up'!$G$4,$V43-4,0))</f>
        <v>0</v>
      </c>
      <c r="I43" s="184" t="str">
        <f ca="1">IF(ISERROR($V43),"",OFFSET('Smelter Look-up'!$H$4,$V43-4,0))</f>
        <v>West Chester</v>
      </c>
      <c r="J43" s="184" t="str">
        <f ca="1">IF(ISERROR($V43),"",OFFSET('Smelter Look-up'!$I$4,$V43-4,0))</f>
        <v>Pennsylvania</v>
      </c>
      <c r="K43" s="224"/>
      <c r="L43" s="224"/>
      <c r="M43" s="224"/>
      <c r="N43" s="224"/>
      <c r="O43" s="224"/>
      <c r="P43" s="185"/>
      <c r="Q43" s="225"/>
      <c r="R43" s="182" t="str">
        <f ca="1">IF(ISERROR($V43),"",OFFSET('Smelter Look-up'!$C$4,$V43-4,0)&amp;"")</f>
        <v>Tin Technology &amp; Refining</v>
      </c>
      <c r="S43" s="181" t="str">
        <f t="shared" ca="1" si="5"/>
        <v>US</v>
      </c>
      <c r="T43" s="181" t="str">
        <f ca="1">IF(B43="","",IF(ISERROR(MATCH($J43,SorP!$B$1:$B$6226,0)),"",INDIRECT("'SorP'!$A$"&amp;MATCH($S43&amp;$J43,SorP!C:C,0))))</f>
        <v>US-PA</v>
      </c>
      <c r="U43" s="201"/>
      <c r="V43" s="226">
        <f ca="1">IF(C43="",NA(),IF(OR(C43="Smelter not listed",C43="Smelter not yet identified"),MATCH($B43&amp;$D43,'Smelter Look-up'!$J:$J,0),MATCH($B43&amp;$C43,'Smelter Look-up'!$J:$J,0)))</f>
        <v>551</v>
      </c>
      <c r="X43" s="227">
        <f t="shared" ca="1" si="6"/>
        <v>0</v>
      </c>
      <c r="AB43" s="228" t="str">
        <f t="shared" ca="1" si="7"/>
        <v>TinTin Technology &amp; Refining</v>
      </c>
    </row>
    <row r="44" spans="1:28" s="227" customFormat="1" ht="20.25" customHeight="1">
      <c r="A44" s="181" t="s">
        <v>13841</v>
      </c>
      <c r="B44" s="182" t="str">
        <f ca="1">IF(LEN(A44)=0,"",INDEX('Smelter Look-up'!$A:$A,MATCH($A44,'Smelter Look-up'!$E:$E,0)))</f>
        <v>Tin</v>
      </c>
      <c r="C44" s="186" t="str">
        <f ca="1">IF(LEN(A44)=0,"",INDEX('Smelter Look-up'!$C:$C,MATCH($A44,'Smelter Look-up'!$E:$E,0)))</f>
        <v>PT Mitra Sukses Globalindo</v>
      </c>
      <c r="D44" s="230"/>
      <c r="E44" s="182" t="str">
        <f ca="1">IF(ISERROR($V44),"",OFFSET('Smelter Look-up'!$D$4,$V44-4,0)&amp;"")</f>
        <v>INDONESIA</v>
      </c>
      <c r="F44" s="182" t="str">
        <f ca="1">IF(ISERROR($V44),"",OFFSET('Smelter Look-up'!$E$4,$V44-4,0))</f>
        <v>CID003449</v>
      </c>
      <c r="G44" s="182" t="str">
        <f ca="1">IF(C44=$X$4,IF(ISERROR($V44),"Enter smelter details","RMI"),IF(ISERROR($V44),"",OFFSET('Smelter Look-up'!$F$4,$V44-4,0)))</f>
        <v>RMI</v>
      </c>
      <c r="H44" s="183">
        <f ca="1">IF(ISERROR($V44),"",OFFSET('Smelter Look-up'!$G$4,$V44-4,0))</f>
        <v>0</v>
      </c>
      <c r="I44" s="184" t="str">
        <f ca="1">IF(ISERROR($V44),"",OFFSET('Smelter Look-up'!$H$4,$V44-4,0))</f>
        <v>Pangkalpinang</v>
      </c>
      <c r="J44" s="184" t="str">
        <f ca="1">IF(ISERROR($V44),"",OFFSET('Smelter Look-up'!$I$4,$V44-4,0))</f>
        <v>Kepulauan Bangka Belitung</v>
      </c>
      <c r="K44" s="224"/>
      <c r="L44" s="224"/>
      <c r="M44" s="224"/>
      <c r="N44" s="224"/>
      <c r="O44" s="224"/>
      <c r="P44" s="185"/>
      <c r="Q44" s="225"/>
      <c r="R44" s="182" t="str">
        <f ca="1">IF(ISERROR($V44),"",OFFSET('Smelter Look-up'!$C$4,$V44-4,0)&amp;"")</f>
        <v>PT Mitra Sukses Globalindo</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519</v>
      </c>
      <c r="X44" s="227">
        <f t="shared" ca="1" si="6"/>
        <v>0</v>
      </c>
      <c r="AB44" s="228" t="str">
        <f t="shared" ca="1" si="7"/>
        <v>TinPT Mitra Sukses Globalindo</v>
      </c>
    </row>
    <row r="45" spans="1:28" s="227" customFormat="1" ht="20.25" customHeight="1">
      <c r="A45" s="181" t="s">
        <v>15060</v>
      </c>
      <c r="B45" s="182" t="str">
        <f ca="1">IF(LEN(A45)=0,"",INDEX('Smelter Look-up'!$A:$A,MATCH($A45,'Smelter Look-up'!$E:$E,0)))</f>
        <v>Tin</v>
      </c>
      <c r="C45" s="186" t="str">
        <f ca="1">IF(LEN(A45)=0,"",INDEX('Smelter Look-up'!$C:$C,MATCH($A45,'Smelter Look-up'!$E:$E,0)))</f>
        <v>CRM Synergies</v>
      </c>
      <c r="D45" s="230"/>
      <c r="E45" s="182" t="str">
        <f ca="1">IF(ISERROR($V45),"",OFFSET('Smelter Look-up'!$D$4,$V45-4,0)&amp;"")</f>
        <v>SPAIN</v>
      </c>
      <c r="F45" s="182" t="str">
        <f ca="1">IF(ISERROR($V45),"",OFFSET('Smelter Look-up'!$E$4,$V45-4,0))</f>
        <v>CID003524</v>
      </c>
      <c r="G45" s="182" t="str">
        <f ca="1">IF(C45=$X$4,IF(ISERROR($V45),"Enter smelter details","RMI"),IF(ISERROR($V45),"",OFFSET('Smelter Look-up'!$F$4,$V45-4,0)))</f>
        <v>RMI</v>
      </c>
      <c r="H45" s="183">
        <f ca="1">IF(ISERROR($V45),"",OFFSET('Smelter Look-up'!$G$4,$V45-4,0))</f>
        <v>0</v>
      </c>
      <c r="I45" s="184" t="str">
        <f ca="1">IF(ISERROR($V45),"",OFFSET('Smelter Look-up'!$H$4,$V45-4,0))</f>
        <v>Toledo</v>
      </c>
      <c r="J45" s="184" t="str">
        <f ca="1">IF(ISERROR($V45),"",OFFSET('Smelter Look-up'!$I$4,$V45-4,0))</f>
        <v>Toledo</v>
      </c>
      <c r="K45" s="224"/>
      <c r="L45" s="224"/>
      <c r="M45" s="224"/>
      <c r="N45" s="224"/>
      <c r="O45" s="224"/>
      <c r="P45" s="185"/>
      <c r="Q45" s="225"/>
      <c r="R45" s="182" t="str">
        <f ca="1">IF(ISERROR($V45),"",OFFSET('Smelter Look-up'!$C$4,$V45-4,0)&amp;"")</f>
        <v>CRM Synergies</v>
      </c>
      <c r="S45" s="181" t="str">
        <f t="shared" ca="1" si="5"/>
        <v>ES</v>
      </c>
      <c r="T45" s="181" t="str">
        <f ca="1">IF(B45="","",IF(ISERROR(MATCH($J45,SorP!$B$1:$B$6226,0)),"",INDIRECT("'SorP'!$A$"&amp;MATCH($S45&amp;$J45,SorP!C:C,0))))</f>
        <v>ES-TO</v>
      </c>
      <c r="U45" s="201"/>
      <c r="V45" s="226">
        <f ca="1">IF(C45="",NA(),IF(OR(C45="Smelter not listed",C45="Smelter not yet identified"),MATCH($B45&amp;$D45,'Smelter Look-up'!$J:$J,0),MATCH($B45&amp;$C45,'Smelter Look-up'!$J:$J,0)))</f>
        <v>422</v>
      </c>
      <c r="X45" s="227">
        <f t="shared" ca="1" si="6"/>
        <v>0</v>
      </c>
      <c r="AB45" s="228" t="str">
        <f t="shared" ca="1" si="7"/>
        <v>TinCRM Synergies</v>
      </c>
    </row>
    <row r="46" spans="1:28" s="227" customFormat="1" ht="20.25" customHeight="1">
      <c r="A46" s="181" t="s">
        <v>15068</v>
      </c>
      <c r="B46" s="182" t="str">
        <f ca="1">IF(LEN(A46)=0,"",INDEX('Smelter Look-up'!$A:$A,MATCH($A46,'Smelter Look-up'!$E:$E,0)))</f>
        <v>Tin</v>
      </c>
      <c r="C46" s="186" t="str">
        <f ca="1">IF(LEN(A46)=0,"",INDEX('Smelter Look-up'!$C:$C,MATCH($A46,'Smelter Look-up'!$E:$E,0)))</f>
        <v>Fabrica Auricchio Industria e Comercio Ltda.</v>
      </c>
      <c r="D46" s="230"/>
      <c r="E46" s="182" t="str">
        <f ca="1">IF(ISERROR($V46),"",OFFSET('Smelter Look-up'!$D$4,$V46-4,0)&amp;"")</f>
        <v>BRAZIL</v>
      </c>
      <c r="F46" s="182" t="str">
        <f ca="1">IF(ISERROR($V46),"",OFFSET('Smelter Look-up'!$E$4,$V46-4,0))</f>
        <v>CID003582</v>
      </c>
      <c r="G46" s="182" t="str">
        <f ca="1">IF(C46=$X$4,IF(ISERROR($V46),"Enter smelter details","RMI"),IF(ISERROR($V46),"",OFFSET('Smelter Look-up'!$F$4,$V46-4,0)))</f>
        <v>RMI</v>
      </c>
      <c r="H46" s="183">
        <f ca="1">IF(ISERROR($V46),"",OFFSET('Smelter Look-up'!$G$4,$V46-4,0))</f>
        <v>0</v>
      </c>
      <c r="I46" s="184" t="str">
        <f ca="1">IF(ISERROR($V46),"",OFFSET('Smelter Look-up'!$H$4,$V46-4,0))</f>
        <v>Mogi das Cruzes</v>
      </c>
      <c r="J46" s="184" t="str">
        <f ca="1">IF(ISERROR($V46),"",OFFSET('Smelter Look-up'!$I$4,$V46-4,0))</f>
        <v>São Paulo</v>
      </c>
      <c r="K46" s="224"/>
      <c r="L46" s="224"/>
      <c r="M46" s="224"/>
      <c r="N46" s="224"/>
      <c r="O46" s="224"/>
      <c r="P46" s="185"/>
      <c r="Q46" s="225"/>
      <c r="R46" s="182" t="str">
        <f ca="1">IF(ISERROR($V46),"",OFFSET('Smelter Look-up'!$C$4,$V46-4,0)&amp;"")</f>
        <v>Fabrica Auricchio Industria e Comercio Ltda.</v>
      </c>
      <c r="S46" s="181" t="str">
        <f t="shared" ca="1" si="5"/>
        <v>BR</v>
      </c>
      <c r="T46" s="181" t="str">
        <f ca="1">IF(B46="","",IF(ISERROR(MATCH($J46,SorP!$B$1:$B$6226,0)),"",INDIRECT("'SorP'!$A$"&amp;MATCH($S46&amp;$J46,SorP!C:C,0))))</f>
        <v>BR-SP</v>
      </c>
      <c r="U46" s="201"/>
      <c r="V46" s="226">
        <f ca="1">IF(C46="",NA(),IF(OR(C46="Smelter not listed",C46="Smelter not yet identified"),MATCH($B46&amp;$D46,'Smelter Look-up'!$J:$J,0),MATCH($B46&amp;$C46,'Smelter Look-up'!$J:$J,0)))</f>
        <v>441</v>
      </c>
      <c r="X46" s="227">
        <f t="shared" ca="1" si="6"/>
        <v>0</v>
      </c>
      <c r="AB46" s="228" t="str">
        <f t="shared" ca="1" si="7"/>
        <v>TinFabrica Auricchio Industria e Comercio Ltda.</v>
      </c>
    </row>
    <row r="47" spans="1:28" s="227" customFormat="1" ht="20.25" customHeight="1">
      <c r="A47" s="181" t="s">
        <v>15438</v>
      </c>
      <c r="B47" s="182" t="str">
        <f ca="1">IF(LEN(A47)=0,"",INDEX('Smelter Look-up'!$A:$A,MATCH($A47,'Smelter Look-up'!$E:$E,0)))</f>
        <v>Tin</v>
      </c>
      <c r="C47" s="186" t="str">
        <f ca="1">IF(LEN(A47)=0,"",INDEX('Smelter Look-up'!$C:$C,MATCH($A47,'Smelter Look-up'!$E:$E,0)))</f>
        <v>DS Myanmar</v>
      </c>
      <c r="D47" s="230"/>
      <c r="E47" s="182" t="str">
        <f ca="1">IF(ISERROR($V47),"",OFFSET('Smelter Look-up'!$D$4,$V47-4,0)&amp;"")</f>
        <v>MYANMAR</v>
      </c>
      <c r="F47" s="182" t="str">
        <f ca="1">IF(ISERROR($V47),"",OFFSET('Smelter Look-up'!$E$4,$V47-4,0))</f>
        <v>CID003831</v>
      </c>
      <c r="G47" s="182" t="str">
        <f ca="1">IF(C47=$X$4,IF(ISERROR($V47),"Enter smelter details","RMI"),IF(ISERROR($V47),"",OFFSET('Smelter Look-up'!$F$4,$V47-4,0)))</f>
        <v>RMI</v>
      </c>
      <c r="H47" s="183">
        <f ca="1">IF(ISERROR($V47),"",OFFSET('Smelter Look-up'!$G$4,$V47-4,0))</f>
        <v>0</v>
      </c>
      <c r="I47" s="184" t="str">
        <f ca="1">IF(ISERROR($V47),"",OFFSET('Smelter Look-up'!$H$4,$V47-4,0))</f>
        <v>Yangon</v>
      </c>
      <c r="J47" s="184" t="str">
        <f ca="1">IF(ISERROR($V47),"",OFFSET('Smelter Look-up'!$I$4,$V47-4,0))</f>
        <v>Yangon</v>
      </c>
      <c r="K47" s="224"/>
      <c r="L47" s="224"/>
      <c r="M47" s="224"/>
      <c r="N47" s="224"/>
      <c r="O47" s="224"/>
      <c r="P47" s="185"/>
      <c r="Q47" s="225"/>
      <c r="R47" s="182" t="str">
        <f ca="1">IF(ISERROR($V47),"",OFFSET('Smelter Look-up'!$C$4,$V47-4,0)&amp;"")</f>
        <v>DS Myanmar</v>
      </c>
      <c r="S47" s="181" t="str">
        <f t="shared" ca="1" si="5"/>
        <v>MM</v>
      </c>
      <c r="T47" s="181" t="str">
        <f ca="1">IF(B47="","",IF(ISERROR(MATCH($J47,SorP!$B$1:$B$6226,0)),"",INDIRECT("'SorP'!$A$"&amp;MATCH($S47&amp;$J47,SorP!C:C,0))))</f>
        <v>MM-06</v>
      </c>
      <c r="U47" s="201"/>
      <c r="V47" s="226">
        <f ca="1">IF(C47="",NA(),IF(OR(C47="Smelter not listed",C47="Smelter not yet identified"),MATCH($B47&amp;$D47,'Smelter Look-up'!$J:$J,0),MATCH($B47&amp;$C47,'Smelter Look-up'!$J:$J,0)))</f>
        <v>431</v>
      </c>
      <c r="X47" s="227">
        <f t="shared" ca="1" si="6"/>
        <v>0</v>
      </c>
      <c r="AB47" s="228" t="str">
        <f t="shared" ca="1" si="7"/>
        <v>TinDS Myanmar</v>
      </c>
    </row>
    <row r="48" spans="1:28" s="227" customFormat="1" ht="20.25" customHeight="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ustomHeight="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ustomHeight="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ustomHeight="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ustomHeight="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ustomHeight="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ustomHeight="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ustomHeight="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ustomHeight="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ustomHeight="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ustomHeight="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ustomHeight="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ustomHeight="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ustomHeight="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ustomHeight="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ustomHeight="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ustomHeight="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ustomHeight="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ustomHeight="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ustomHeight="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ustomHeight="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ustomHeight="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ustomHeight="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ustomHeight="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ustomHeight="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ustomHeight="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ustomHeight="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ustomHeight="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ustomHeight="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ustomHeight="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ustomHeight="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ustomHeight="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ustomHeight="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ustomHeight="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ustomHeight="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ustomHeight="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ustomHeight="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ustomHeight="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ustomHeight="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ustomHeight="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ustomHeight="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ustomHeight="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ustomHeight="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ustomHeight="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ustomHeight="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ustomHeight="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ustomHeight="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ustomHeight="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ustomHeight="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ustomHeight="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ustomHeight="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ustomHeight="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ustomHeight="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ustomHeight="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ustomHeight="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ustomHeight="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ustomHeight="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ustomHeight="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ustomHeight="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ustomHeight="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ustomHeight="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ustomHeight="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ustomHeight="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ustomHeight="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ustomHeight="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ustomHeight="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ustomHeight="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ustomHeight="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ustomHeight="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ustomHeight="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ustomHeight="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ustomHeight="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ustomHeight="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ustomHeight="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ustomHeight="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ustomHeight="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7" t="str">
        <f ca="1">OFFSET(L!$C$1,MATCH("Checker"&amp;ADDRESS(ROW(),COLUMN(),4),L!$A:$A,0)-1,SL,,)</f>
        <v>To ensure all required fields have been populated before submitting to your customers review form for any line items highlighted in red</v>
      </c>
      <c r="B1" s="397"/>
      <c r="C1" s="397"/>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AT&amp;S Austria Technologie &amp; Systemtechnik Aktiengesellschaft</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63.75">
      <c r="A6" s="90" t="str">
        <f ca="1">Declaration!B10</f>
        <v>Description of Scope:</v>
      </c>
      <c r="B6" s="89" t="str">
        <f>Declaration!D10</f>
        <v>This sheet is valid for all products shipped by AT&amp;S Group to it's customers and reflects materials which remain on our products. The sheet  is based on the supplier feedback we received until the "Effective Date" below.</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Theresa Gruber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t.gruber@ats.net</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(+43) 3842 200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Alexandre Allaire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A.Allaire@ats.net</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45537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https://ats.net/en/download/esg-policies/?wpdmdl=33662&amp;refresh=66debc98de15d1725873304</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9" t="str">
        <f ca="1">OFFSET(L!$C$1,MATCH("Product List"&amp;ADDRESS(ROW(),COLUMN(),4),L!$A:$A,0)-1,SL,,)</f>
        <v>Completion required only if reporting level "Product (or List of Products)" selected on the 'Declaration' worksheet.</v>
      </c>
      <c r="B1" s="400"/>
      <c r="C1" s="400"/>
      <c r="D1" s="40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8" t="s">
        <v>888</v>
      </c>
      <c r="C4" s="398"/>
      <c r="D4" s="39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1" t="str">
        <f ca="1">OFFSET(L!$C$1,MATCH("General"&amp;"Cpy",L!$A:$A,0)-1,SL,,)</f>
        <v>© 2024 Responsible Minerals Initiative. All rights reserved.</v>
      </c>
      <c r="C2006" s="401"/>
      <c r="D2006" s="401"/>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1">
      <c r="A2" s="403"/>
      <c r="B2" s="403"/>
      <c r="C2" s="403"/>
      <c r="D2" s="403"/>
      <c r="E2" s="403"/>
      <c r="F2" s="403"/>
      <c r="G2" s="403"/>
      <c r="H2" s="403"/>
      <c r="I2" s="403"/>
    </row>
    <row r="3" spans="1:11">
      <c r="A3" s="403"/>
      <c r="B3" s="403"/>
      <c r="C3" s="403"/>
      <c r="D3" s="403"/>
      <c r="E3" s="403"/>
      <c r="F3" s="403"/>
      <c r="G3" s="403"/>
      <c r="H3" s="403"/>
      <c r="I3" s="40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dcmitype/"/>
    <ds:schemaRef ds:uri="http://schemas.microsoft.com/office/2006/metadata/properties"/>
    <ds:schemaRef ds:uri="http://purl.org/dc/terms/"/>
    <ds:schemaRef ds:uri="http://purl.org/dc/elements/1.1/"/>
    <ds:schemaRef ds:uri="6e8a5f3d-031c-4996-804e-0e28298fe1e2"/>
    <ds:schemaRef ds:uri="http://schemas.microsoft.com/office/2006/documentManagement/types"/>
    <ds:schemaRef ds:uri="http://schemas.microsoft.com/office/infopath/2007/PartnerControls"/>
    <ds:schemaRef ds:uri="http://schemas.openxmlformats.org/package/2006/metadata/core-properties"/>
    <ds:schemaRef ds:uri="a54701f6-876b-4337-a24e-543e1bd311e6"/>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Gruber Theresa</cp:lastModifiedBy>
  <cp:lastPrinted>2015-04-21T20:47:43Z</cp:lastPrinted>
  <dcterms:created xsi:type="dcterms:W3CDTF">2010-06-21T21:00:23Z</dcterms:created>
  <dcterms:modified xsi:type="dcterms:W3CDTF">2024-09-11T06:23:56Z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